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3">'Приложение 4'!$A:$A</definedName>
    <definedName name="_xlnm.Print_Area" localSheetId="0">'Приложение 1'!$A$1:$F$24</definedName>
    <definedName name="_xlnm.Print_Area" localSheetId="1">'Приложение 2'!$A$1:$C$34</definedName>
    <definedName name="_xlnm.Print_Area" localSheetId="2">'Приложение 3'!$A$1:$C$12</definedName>
    <definedName name="_xlnm.Print_Area" localSheetId="3">'Приложение 4'!$A$1:$V$28</definedName>
  </definedNames>
  <calcPr fullCalcOnLoad="1"/>
</workbook>
</file>

<file path=xl/sharedStrings.xml><?xml version="1.0" encoding="utf-8"?>
<sst xmlns="http://schemas.openxmlformats.org/spreadsheetml/2006/main" count="276" uniqueCount="227">
  <si>
    <t>Приложение 1</t>
  </si>
  <si>
    <t>Наименование поселения</t>
  </si>
  <si>
    <t>Беловский</t>
  </si>
  <si>
    <t>Боровлянский</t>
  </si>
  <si>
    <t>Гордеевский</t>
  </si>
  <si>
    <t>Ереминский</t>
  </si>
  <si>
    <t>Заводской</t>
  </si>
  <si>
    <t>Зеленополянский</t>
  </si>
  <si>
    <t>Кипешинский</t>
  </si>
  <si>
    <t>Петровский</t>
  </si>
  <si>
    <t>Троицкий</t>
  </si>
  <si>
    <t>Хайрюзовский</t>
  </si>
  <si>
    <t>Южаковский</t>
  </si>
  <si>
    <t>ИТОГО по поселениям:</t>
  </si>
  <si>
    <t>* Поселение 2 в соответствии с п.3 статьи 137 БК РФ не имеет права на получение дотациии на выравнивание бюджетной обеспеченности поселений, предоставляемой за счет субвенции из краевого бюджета, так как перечисляет субсидию в краевой бюджет</t>
  </si>
  <si>
    <t>Приложение 2</t>
  </si>
  <si>
    <t>тыс.руб.</t>
  </si>
  <si>
    <t>№ п/п</t>
  </si>
  <si>
    <t>Показатели</t>
  </si>
  <si>
    <t>Сумма</t>
  </si>
  <si>
    <t>1.</t>
  </si>
  <si>
    <t>2.</t>
  </si>
  <si>
    <t>3.</t>
  </si>
  <si>
    <t>4.</t>
  </si>
  <si>
    <t>5.</t>
  </si>
  <si>
    <t>6.</t>
  </si>
  <si>
    <t>7.</t>
  </si>
  <si>
    <t>8.</t>
  </si>
  <si>
    <t>Дефицит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</si>
  <si>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</si>
  <si>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</si>
  <si>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</si>
  <si>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</si>
  <si>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</si>
  <si>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</si>
  <si>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</si>
  <si>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</si>
  <si>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</si>
  <si>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</si>
  <si>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</si>
  <si>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</si>
  <si>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за счет субвенции из краевого бюджета</t>
  </si>
  <si>
    <t>21.</t>
  </si>
  <si>
    <t xml:space="preserve">     за счет собственных доходов бюджета муниципального района</t>
  </si>
  <si>
    <t>Консолидированный бюджет муниципального района по доходам - всего, в том числе:</t>
  </si>
  <si>
    <t xml:space="preserve">   Районный бюджет</t>
  </si>
  <si>
    <t xml:space="preserve">   Бюджеты поселений:</t>
  </si>
  <si>
    <t xml:space="preserve">      в том числе:</t>
  </si>
  <si>
    <t>налоговые доходы</t>
  </si>
  <si>
    <t>неналоговые доходы</t>
  </si>
  <si>
    <t>финансовая поддержка поселений из бюджета муниципального района</t>
  </si>
  <si>
    <t xml:space="preserve">   </t>
  </si>
  <si>
    <t>Приложение 3</t>
  </si>
  <si>
    <t>в том числе</t>
  </si>
  <si>
    <t>Приложение 4</t>
  </si>
  <si>
    <t>Численность</t>
  </si>
  <si>
    <t>Количество</t>
  </si>
  <si>
    <t xml:space="preserve">Коэф-т </t>
  </si>
  <si>
    <t>Всего</t>
  </si>
  <si>
    <t>Потребность в</t>
  </si>
  <si>
    <t>Удельный вес</t>
  </si>
  <si>
    <t xml:space="preserve">Коэффициент </t>
  </si>
  <si>
    <t>Расстояние</t>
  </si>
  <si>
    <t>Коэффициент</t>
  </si>
  <si>
    <t>ИБР</t>
  </si>
  <si>
    <t>Налоговый</t>
  </si>
  <si>
    <t>Субсидии из</t>
  </si>
  <si>
    <t>Уровень</t>
  </si>
  <si>
    <t>Недостаток</t>
  </si>
  <si>
    <t>Дотация</t>
  </si>
  <si>
    <t>Доходный</t>
  </si>
  <si>
    <t>Бюджетная</t>
  </si>
  <si>
    <t>Потребность</t>
  </si>
  <si>
    <t>Дотация на</t>
  </si>
  <si>
    <t>Всего дотация</t>
  </si>
  <si>
    <t>постоянного</t>
  </si>
  <si>
    <t>населенных</t>
  </si>
  <si>
    <t>масштаба</t>
  </si>
  <si>
    <t>потребность</t>
  </si>
  <si>
    <t>расходах на</t>
  </si>
  <si>
    <t>расходов на</t>
  </si>
  <si>
    <t>предоставления</t>
  </si>
  <si>
    <t>до районного</t>
  </si>
  <si>
    <t>удаленности</t>
  </si>
  <si>
    <t>потенциал</t>
  </si>
  <si>
    <t>бюджетов</t>
  </si>
  <si>
    <t xml:space="preserve">расчетной </t>
  </si>
  <si>
    <t>средств</t>
  </si>
  <si>
    <t>на доведение</t>
  </si>
  <si>
    <t>обеспечен.</t>
  </si>
  <si>
    <t>поселения</t>
  </si>
  <si>
    <t>выравнивание</t>
  </si>
  <si>
    <t>на выравнивание</t>
  </si>
  <si>
    <t>обеспеченность</t>
  </si>
  <si>
    <t>Наименование</t>
  </si>
  <si>
    <t xml:space="preserve">населения </t>
  </si>
  <si>
    <t xml:space="preserve">пунктов </t>
  </si>
  <si>
    <t xml:space="preserve">в расходах </t>
  </si>
  <si>
    <t xml:space="preserve">коммунальные </t>
  </si>
  <si>
    <t>коммунальные</t>
  </si>
  <si>
    <t>коммунальных</t>
  </si>
  <si>
    <t>центра</t>
  </si>
  <si>
    <t>поселений</t>
  </si>
  <si>
    <t>бюджетной</t>
  </si>
  <si>
    <t>для довед.</t>
  </si>
  <si>
    <t>бюдж.обесп.</t>
  </si>
  <si>
    <t>после</t>
  </si>
  <si>
    <t>с уч.перв.</t>
  </si>
  <si>
    <t xml:space="preserve">во второй </t>
  </si>
  <si>
    <t>(второй</t>
  </si>
  <si>
    <t>с населением</t>
  </si>
  <si>
    <t>услуги</t>
  </si>
  <si>
    <t>услуг</t>
  </si>
  <si>
    <t>(км.)</t>
  </si>
  <si>
    <t xml:space="preserve">в краевой </t>
  </si>
  <si>
    <t>обеспеченности</t>
  </si>
  <si>
    <t>до ср.уровня</t>
  </si>
  <si>
    <t>распредел.</t>
  </si>
  <si>
    <t>части дот.</t>
  </si>
  <si>
    <t>части</t>
  </si>
  <si>
    <t>этап)</t>
  </si>
  <si>
    <t>выравнивания</t>
  </si>
  <si>
    <t>(человек)</t>
  </si>
  <si>
    <t>по управлению,</t>
  </si>
  <si>
    <t>в общем объеме</t>
  </si>
  <si>
    <t>бюджетным</t>
  </si>
  <si>
    <t>бюджет</t>
  </si>
  <si>
    <t xml:space="preserve">для распредел.дотаций </t>
  </si>
  <si>
    <t>до среднего</t>
  </si>
  <si>
    <t>на первом</t>
  </si>
  <si>
    <t>Фонда</t>
  </si>
  <si>
    <t>на душу</t>
  </si>
  <si>
    <t>дотации</t>
  </si>
  <si>
    <t xml:space="preserve">за счет собственных </t>
  </si>
  <si>
    <t>руб. на чел.</t>
  </si>
  <si>
    <t>расходов</t>
  </si>
  <si>
    <t>учреждениям</t>
  </si>
  <si>
    <t>на первом этапе</t>
  </si>
  <si>
    <t>уровня</t>
  </si>
  <si>
    <t>этапе</t>
  </si>
  <si>
    <t>населения</t>
  </si>
  <si>
    <t>доходов бюджета</t>
  </si>
  <si>
    <t>на душу насел.</t>
  </si>
  <si>
    <t>муницип.района</t>
  </si>
  <si>
    <t>№ столбца</t>
  </si>
  <si>
    <r>
      <rPr>
        <b/>
        <sz val="10"/>
        <rFont val="Times New Roman"/>
        <family val="1"/>
      </rPr>
      <t>3=(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+2/итог2)/                    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+1/итог1)</t>
    </r>
  </si>
  <si>
    <t>6=5/4</t>
  </si>
  <si>
    <r>
      <rPr>
        <b/>
        <sz val="10"/>
        <rFont val="Times New Roman"/>
        <family val="1"/>
      </rPr>
      <t>7=(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+6)/(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+ср.6)</t>
    </r>
  </si>
  <si>
    <r>
      <rPr>
        <b/>
        <sz val="10"/>
        <rFont val="Times New Roman"/>
        <family val="1"/>
      </rPr>
      <t>9=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+8/сумм8</t>
    </r>
  </si>
  <si>
    <t>10=а*3+b*7+c*7+d*9</t>
  </si>
  <si>
    <t>13=( (11-12) / 1) / 10</t>
  </si>
  <si>
    <r>
      <rPr>
        <b/>
        <sz val="10"/>
        <rFont val="Times New Roman"/>
        <family val="1"/>
      </rPr>
      <t>14=</t>
    </r>
    <r>
      <rPr>
        <sz val="10"/>
        <rFont val="Times New Roman"/>
        <family val="1"/>
      </rPr>
      <t>410*</t>
    </r>
    <r>
      <rPr>
        <b/>
        <sz val="10"/>
        <rFont val="Times New Roman"/>
        <family val="1"/>
      </rPr>
      <t xml:space="preserve"> - 13</t>
    </r>
  </si>
  <si>
    <t>15=14*1*10</t>
  </si>
  <si>
    <t>16=11-12+15</t>
  </si>
  <si>
    <t>17=16/1/10</t>
  </si>
  <si>
    <r>
      <rPr>
        <b/>
        <sz val="10"/>
        <rFont val="Times New Roman"/>
        <family val="1"/>
      </rPr>
      <t>18=(</t>
    </r>
    <r>
      <rPr>
        <sz val="10"/>
        <rFont val="Times New Roman"/>
        <family val="1"/>
      </rPr>
      <t>476**</t>
    </r>
    <r>
      <rPr>
        <b/>
        <sz val="10"/>
        <rFont val="Times New Roman"/>
        <family val="1"/>
      </rPr>
      <t>-17)*1*10</t>
    </r>
  </si>
  <si>
    <r>
      <rPr>
        <b/>
        <sz val="10"/>
        <rFont val="Times New Roman"/>
        <family val="1"/>
      </rPr>
      <t>19=18/сумм18*</t>
    </r>
    <r>
      <rPr>
        <sz val="10"/>
        <rFont val="Times New Roman"/>
        <family val="1"/>
      </rPr>
      <t>687</t>
    </r>
    <r>
      <rPr>
        <b/>
        <sz val="10"/>
        <rFont val="Times New Roman"/>
        <family val="1"/>
      </rPr>
      <t>***</t>
    </r>
  </si>
  <si>
    <t>20=15+19</t>
  </si>
  <si>
    <t>21=(11-12+20)/1/10</t>
  </si>
  <si>
    <t>Беловская</t>
  </si>
  <si>
    <t>Боровлянская</t>
  </si>
  <si>
    <t>Гордеевская</t>
  </si>
  <si>
    <t>Ереминская</t>
  </si>
  <si>
    <t>Заводская</t>
  </si>
  <si>
    <t>Зеленополянская</t>
  </si>
  <si>
    <t xml:space="preserve">Кипешинская </t>
  </si>
  <si>
    <t>Петровская</t>
  </si>
  <si>
    <t>Троицкая</t>
  </si>
  <si>
    <t>Хайрюзовская</t>
  </si>
  <si>
    <t>Южаковская</t>
  </si>
  <si>
    <t>Удельный вес расходных обязательств поселений в среднем по поселениям муниципального района за отчетный финансовый год (в каждом районе эти значения будут различаться)</t>
  </si>
  <si>
    <t>Содержание органов местного самоуправления поселений (a)</t>
  </si>
  <si>
    <t>Объем дотации на выравнивание за счет собственных доходов бюджета района, тыс.руб.=</t>
  </si>
  <si>
    <t xml:space="preserve">Общий объем дотаций на выравнивание бюджетной обеспеченности поселений, распределенный на 1 этапе </t>
  </si>
  <si>
    <t>Организация библиотечного обслуживания населения (b)</t>
  </si>
  <si>
    <t>* Ср.уровень расчетной бюдж.обеспеч.для распределения на первом этапе (руб.на чел.)</t>
  </si>
  <si>
    <t>***Объем дотаций для распределения на 2-м этапе =</t>
  </si>
  <si>
    <t>Создание условий для организации досуга и обеспечения жителей поселения услугами организаций культуры ( c )</t>
  </si>
  <si>
    <t>** Уровень расчетной бюдж.обеспеч., соответствующий ср. уровню расх.обязательств   =</t>
  </si>
  <si>
    <t>руб.на чел.</t>
  </si>
  <si>
    <t>Иные вопросы местного значения поселений (d)</t>
  </si>
  <si>
    <t>Приложение 5</t>
  </si>
  <si>
    <t>тыс. руб.</t>
  </si>
  <si>
    <t>Кипешинская</t>
  </si>
  <si>
    <t xml:space="preserve">Троицкая </t>
  </si>
  <si>
    <t>на 01.01.2019</t>
  </si>
  <si>
    <t>на 2020 год</t>
  </si>
  <si>
    <t>культуре на 2020г.,</t>
  </si>
  <si>
    <t>на 2020 год, тыс.руб.</t>
  </si>
  <si>
    <t>Расчет дотаций поселениям на выравнивание бюджетной обеспеченности поселений, предоставляемых за счет субвенции из краевого бюджета, на 2020 год</t>
  </si>
  <si>
    <t>Численность постоянного населения на 01.01.19, человек</t>
  </si>
  <si>
    <t>Субсидии из бюджетов поселений в краевой бюджет на 2019 год, тыс. рублей</t>
  </si>
  <si>
    <t>Субвенция муниципальному району из краевого бюджета на выравнивание бюджетной обеспеченности поселений на 2020 год, тыс. руб.</t>
  </si>
  <si>
    <t>Численность постоянного населения поселений муниципального района на 01.01.2019 имеющих право на получение дотации за счет субвенции из краевого бюджета, человек</t>
  </si>
  <si>
    <t>Дотация на выравнивание бюджетной обеспеченности поселений, предоставляемая за счет субвенции из краевого бюджета, на 2020 год, тыс. руб.</t>
  </si>
  <si>
    <t>Расчет объема финансовой поддержки поселений из бюджета муниципального района на 2020 год</t>
  </si>
  <si>
    <t>Налоговый потенциал поселений района на 2020 год</t>
  </si>
  <si>
    <t>Налоговый потенциал муниципального района на 2020 год</t>
  </si>
  <si>
    <t>Дотация на поддержку мер по обеспечению сбалансированности бюджетов муниципальных районов, городских округов бюджету муниципального района на 2020 год</t>
  </si>
  <si>
    <t>Субвенция из краевого бюджета на выравнивание бюджетной обеспеченности поселений бюджету муниципального района на 2020 год</t>
  </si>
  <si>
    <t>Неналоговые доходы поселений на 2020 год</t>
  </si>
  <si>
    <t>Неналоговые доходы муниципального района на 2020 год</t>
  </si>
  <si>
    <t>Всего консолидированный бюджет муниципального района по доходам на 2020 год (сумма стр.1-8)</t>
  </si>
  <si>
    <t>Потребность в расходных обязательствах поселений на 2020 год (ст. 14 ФЗ № 131-ФЗ)</t>
  </si>
  <si>
    <t>Потребность поселений в финансовой помощи на 2020 год (стр.10 - стр.1 - стр. 6)</t>
  </si>
  <si>
    <t>Потребность в расходных обязательствах районного бюджета (ст.15 ФЗ № 131-ФЗ) без расходов на финансовую помощь поселениям на 2020 год</t>
  </si>
  <si>
    <t>Всего потребность консолидированного бюджета муниципального района в расходах на 2020 год (стр.10 + стр.12)</t>
  </si>
  <si>
    <t>Обеспеченность потребности в расходах доходами в целом по консолидированному бюджету муниципального района на 2020 год, % (стр.9 : стр.13)</t>
  </si>
  <si>
    <t>Процент покрытия потребности в расходах, установленный администрацией муниципального района для районного бюджета на 2020 год, % (может быть любая цифра)</t>
  </si>
  <si>
    <t>Объем районного бюджета на 2020 год (73,77 % от потребности) (стр. 12 * стр. 15)</t>
  </si>
  <si>
    <t>Объем бюджетов поселений (объем консолидированного бюджета района по доходам за минусом объема районного бюджета) на 2020 год (стр.9 - стр. 16)</t>
  </si>
  <si>
    <t>Процент покрытия потребности в расходах бюджетов поселений на 2020год, %                                 (стр.17 : стр.10)</t>
  </si>
  <si>
    <t>Объем финансовой поддержки поселений из бюджета муниципального района на 2020 год (стр. 17 - стр.1 - стр. 6)</t>
  </si>
  <si>
    <t>Итого по консолидированному бюджету муниципального района на 2020 год</t>
  </si>
  <si>
    <t>Расчет отдельных видов финансовой поддержки поселений из бюджета муниципального района на 2020год</t>
  </si>
  <si>
    <t>Объем финансовой поддержки поселений из бюджета муниципального района на 2020 год (строка19 Приложения 2)</t>
  </si>
  <si>
    <t>Удельный вес дотации на выравнивание бюджетной обеспеченности поселений в общем объеме финансовой поддержки на 2020 год, % (устанавливается произвольно с учетом того, что дотация на выравнивание должна быть больше субвенции из краевого бюджета)</t>
  </si>
  <si>
    <t>Объем дотации на выравнивание бюджетной обеспеченности поселений из бюджета муниципального района на 2020 год (стр.1 * стр.2)</t>
  </si>
  <si>
    <t>Дотация на выравнивание бюджетной обеспеченности поселений из бюджета муниципального района, предоставляемая за счет субвенции из краевого бюджета, на 2020 год (строка 19 Приложения 1)</t>
  </si>
  <si>
    <t>Дотация на выравнивание бюджетной обеспеченности поселений из бюджета муниципального района, предоставляемая за счет собственных доходов бюджета муниципального района, на 2020год (стр.3 - стр. 4)</t>
  </si>
  <si>
    <t>Дотация на поддержку мер по обеспечению сбалансированности бюджетов поселений на 2020 год (стр.1- стр. 3)</t>
  </si>
  <si>
    <t>Расчет дотаций поселениям на выравнивание бюджетной обеспеченности поселений, предоставляемых за счет собственных доходов бюджета муниципального района, на 2020 год</t>
  </si>
  <si>
    <t>Расчет общей суммы дотации на выравнивание бюджетной обеспеченности поселений из бюджета муниципального района на 2020 год</t>
  </si>
  <si>
    <t>Дотация на выравнивание, предоставляемая за счет субвенции из краевого бюджета, на 2020 год</t>
  </si>
  <si>
    <t>Дотация на выравнивание, предоставляемая за счет собственных доходов бюджета муниципального района, на 2020 год</t>
  </si>
  <si>
    <t>Всего дотация на выравнивание бюджетной обеспеченности поселений на 2020 год</t>
  </si>
  <si>
    <t>Дотация на выравнивание бюджетной обеспеченности муниципальных районов, городских округов бюджету муниципального района на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</si>
</sst>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#,##0.0000"/>
    <numFmt numFmtId="176" formatCode="0.000"/>
  </numFmts>
  <fonts count="27">
    <font>
      <sz val="12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8" borderId="0" applyNumberFormat="0" applyBorder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16" borderId="0" applyNumberFormat="0" applyBorder="0" applyAlignment="0" applyProtection="0"/>
    <xf numFmtId="0" fontId="26" fillId="26" borderId="0" applyNumberFormat="0" applyBorder="0" applyAlignment="0" applyProtection="0"/>
    <xf numFmtId="0" fontId="3" fillId="18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 applyProtection="1">
      <alignment/>
      <protection locked="0"/>
    </xf>
    <xf numFmtId="3" fontId="19" fillId="0" borderId="11" xfId="0" applyNumberFormat="1" applyFont="1" applyBorder="1" applyAlignment="1">
      <alignment vertical="center"/>
    </xf>
    <xf numFmtId="172" fontId="19" fillId="0" borderId="11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Border="1" applyAlignment="1">
      <alignment vertical="center"/>
    </xf>
    <xf numFmtId="3" fontId="19" fillId="0" borderId="13" xfId="0" applyNumberFormat="1" applyFont="1" applyFill="1" applyBorder="1" applyAlignment="1" applyProtection="1">
      <alignment horizontal="right" vertical="center"/>
      <protection locked="0"/>
    </xf>
    <xf numFmtId="3" fontId="2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14" xfId="0" applyNumberFormat="1" applyFont="1" applyFill="1" applyBorder="1" applyAlignment="1" applyProtection="1">
      <alignment horizontal="right" vertical="center"/>
      <protection locked="0"/>
    </xf>
    <xf numFmtId="3" fontId="20" fillId="0" borderId="12" xfId="0" applyNumberFormat="1" applyFont="1" applyBorder="1" applyAlignment="1">
      <alignment vertical="center" wrapText="1"/>
    </xf>
    <xf numFmtId="172" fontId="20" fillId="0" borderId="12" xfId="0" applyNumberFormat="1" applyFont="1" applyBorder="1" applyAlignment="1">
      <alignment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172" fontId="19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73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172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 indent="2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9" fillId="0" borderId="19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19" fillId="0" borderId="30" xfId="0" applyNumberFormat="1" applyFont="1" applyFill="1" applyBorder="1" applyAlignment="1" applyProtection="1">
      <alignment/>
      <protection locked="0"/>
    </xf>
    <xf numFmtId="1" fontId="19" fillId="0" borderId="11" xfId="0" applyNumberFormat="1" applyFont="1" applyFill="1" applyBorder="1" applyAlignment="1" applyProtection="1">
      <alignment vertical="center"/>
      <protection locked="0"/>
    </xf>
    <xf numFmtId="174" fontId="19" fillId="0" borderId="11" xfId="0" applyNumberFormat="1" applyFont="1" applyFill="1" applyBorder="1" applyAlignment="1" applyProtection="1">
      <alignment horizontal="right" vertical="center"/>
      <protection locked="0"/>
    </xf>
    <xf numFmtId="175" fontId="19" fillId="0" borderId="11" xfId="0" applyNumberFormat="1" applyFont="1" applyFill="1" applyBorder="1" applyAlignment="1" applyProtection="1">
      <alignment horizontal="right" vertical="center"/>
      <protection locked="0"/>
    </xf>
    <xf numFmtId="175" fontId="19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74" fontId="19" fillId="0" borderId="11" xfId="0" applyNumberFormat="1" applyFont="1" applyFill="1" applyBorder="1" applyAlignment="1">
      <alignment/>
    </xf>
    <xf numFmtId="172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72" fontId="20" fillId="0" borderId="11" xfId="0" applyNumberFormat="1" applyFont="1" applyFill="1" applyBorder="1" applyAlignment="1">
      <alignment/>
    </xf>
    <xf numFmtId="172" fontId="20" fillId="0" borderId="31" xfId="0" applyNumberFormat="1" applyFont="1" applyFill="1" applyBorder="1" applyAlignment="1">
      <alignment/>
    </xf>
    <xf numFmtId="172" fontId="20" fillId="0" borderId="32" xfId="0" applyNumberFormat="1" applyFont="1" applyFill="1" applyBorder="1" applyAlignment="1">
      <alignment/>
    </xf>
    <xf numFmtId="1" fontId="19" fillId="0" borderId="33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3" fontId="19" fillId="0" borderId="34" xfId="0" applyNumberFormat="1" applyFont="1" applyFill="1" applyBorder="1" applyAlignment="1" applyProtection="1">
      <alignment/>
      <protection locked="0"/>
    </xf>
    <xf numFmtId="1" fontId="19" fillId="0" borderId="12" xfId="0" applyNumberFormat="1" applyFont="1" applyFill="1" applyBorder="1" applyAlignment="1" applyProtection="1">
      <alignment vertical="center"/>
      <protection locked="0"/>
    </xf>
    <xf numFmtId="174" fontId="19" fillId="0" borderId="12" xfId="0" applyNumberFormat="1" applyFont="1" applyFill="1" applyBorder="1" applyAlignment="1" applyProtection="1">
      <alignment horizontal="right" vertical="center"/>
      <protection locked="0"/>
    </xf>
    <xf numFmtId="175" fontId="19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74" fontId="19" fillId="0" borderId="12" xfId="0" applyNumberFormat="1" applyFont="1" applyFill="1" applyBorder="1" applyAlignment="1">
      <alignment/>
    </xf>
    <xf numFmtId="172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172" fontId="20" fillId="0" borderId="12" xfId="0" applyNumberFormat="1" applyFont="1" applyFill="1" applyBorder="1" applyAlignment="1">
      <alignment/>
    </xf>
    <xf numFmtId="172" fontId="20" fillId="0" borderId="35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/>
    </xf>
    <xf numFmtId="3" fontId="20" fillId="0" borderId="37" xfId="0" applyNumberFormat="1" applyFont="1" applyFill="1" applyBorder="1" applyAlignment="1" applyProtection="1">
      <alignment vertical="center" wrapText="1"/>
      <protection locked="0"/>
    </xf>
    <xf numFmtId="174" fontId="20" fillId="0" borderId="14" xfId="0" applyNumberFormat="1" applyFont="1" applyFill="1" applyBorder="1" applyAlignment="1" applyProtection="1">
      <alignment horizontal="right" vertical="center"/>
      <protection locked="0"/>
    </xf>
    <xf numFmtId="175" fontId="20" fillId="0" borderId="38" xfId="0" applyNumberFormat="1" applyFont="1" applyFill="1" applyBorder="1" applyAlignment="1" applyProtection="1">
      <alignment horizontal="right" vertical="center"/>
      <protection locked="0"/>
    </xf>
    <xf numFmtId="175" fontId="20" fillId="0" borderId="14" xfId="0" applyNumberFormat="1" applyFont="1" applyFill="1" applyBorder="1" applyAlignment="1">
      <alignment vertical="center"/>
    </xf>
    <xf numFmtId="1" fontId="20" fillId="0" borderId="14" xfId="0" applyNumberFormat="1" applyFont="1" applyFill="1" applyBorder="1" applyAlignment="1">
      <alignment vertical="center"/>
    </xf>
    <xf numFmtId="172" fontId="20" fillId="0" borderId="14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1" fontId="20" fillId="0" borderId="39" xfId="0" applyNumberFormat="1" applyFont="1" applyFill="1" applyBorder="1" applyAlignment="1">
      <alignment vertical="center"/>
    </xf>
    <xf numFmtId="1" fontId="20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4" fontId="19" fillId="0" borderId="0" xfId="0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175" fontId="19" fillId="0" borderId="0" xfId="0" applyNumberFormat="1" applyFont="1" applyBorder="1" applyAlignment="1">
      <alignment/>
    </xf>
    <xf numFmtId="1" fontId="24" fillId="0" borderId="10" xfId="0" applyNumberFormat="1" applyFont="1" applyBorder="1" applyAlignment="1">
      <alignment vertical="center" wrapText="1"/>
    </xf>
    <xf numFmtId="173" fontId="19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Border="1" applyAlignment="1">
      <alignment vertical="center" wrapText="1"/>
    </xf>
    <xf numFmtId="172" fontId="19" fillId="0" borderId="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left" vertical="center"/>
      <protection locked="0"/>
    </xf>
    <xf numFmtId="1" fontId="21" fillId="0" borderId="10" xfId="0" applyNumberFormat="1" applyFont="1" applyFill="1" applyBorder="1" applyAlignment="1" applyProtection="1">
      <alignment vertical="center" wrapText="1"/>
      <protection locked="0"/>
    </xf>
    <xf numFmtId="17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vertical="center"/>
    </xf>
    <xf numFmtId="1" fontId="19" fillId="0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10" xfId="0" applyNumberFormat="1" applyFont="1" applyBorder="1" applyAlignment="1">
      <alignment vertical="center" wrapText="1"/>
    </xf>
    <xf numFmtId="173" fontId="19" fillId="0" borderId="27" xfId="0" applyNumberFormat="1" applyFont="1" applyBorder="1" applyAlignment="1">
      <alignment horizontal="center" vertical="center"/>
    </xf>
    <xf numFmtId="172" fontId="19" fillId="0" borderId="11" xfId="0" applyNumberFormat="1" applyFont="1" applyBorder="1" applyAlignment="1">
      <alignment vertical="center" wrapText="1"/>
    </xf>
    <xf numFmtId="173" fontId="19" fillId="0" borderId="11" xfId="0" applyNumberFormat="1" applyFont="1" applyBorder="1" applyAlignment="1">
      <alignment vertical="center"/>
    </xf>
    <xf numFmtId="173" fontId="19" fillId="0" borderId="11" xfId="0" applyNumberFormat="1" applyFont="1" applyBorder="1" applyAlignment="1">
      <alignment/>
    </xf>
    <xf numFmtId="173" fontId="20" fillId="0" borderId="12" xfId="0" applyNumberFormat="1" applyFont="1" applyBorder="1" applyAlignment="1">
      <alignment vertical="center" wrapText="1"/>
    </xf>
    <xf numFmtId="3" fontId="19" fillId="42" borderId="11" xfId="0" applyNumberFormat="1" applyFont="1" applyFill="1" applyBorder="1" applyAlignment="1" applyProtection="1">
      <alignment horizontal="right" vertical="center"/>
      <protection locked="0"/>
    </xf>
    <xf numFmtId="3" fontId="19" fillId="42" borderId="12" xfId="0" applyNumberFormat="1" applyFont="1" applyFill="1" applyBorder="1" applyAlignment="1" applyProtection="1">
      <alignment horizontal="right" vertical="center"/>
      <protection locked="0"/>
    </xf>
    <xf numFmtId="3" fontId="20" fillId="42" borderId="14" xfId="0" applyNumberFormat="1" applyFont="1" applyFill="1" applyBorder="1" applyAlignment="1" applyProtection="1">
      <alignment horizontal="right" vertical="center"/>
      <protection locked="0"/>
    </xf>
    <xf numFmtId="173" fontId="19" fillId="42" borderId="11" xfId="0" applyNumberFormat="1" applyFont="1" applyFill="1" applyBorder="1" applyAlignment="1" applyProtection="1">
      <alignment horizontal="right" vertical="center"/>
      <protection locked="0"/>
    </xf>
    <xf numFmtId="172" fontId="19" fillId="42" borderId="11" xfId="0" applyNumberFormat="1" applyFont="1" applyFill="1" applyBorder="1" applyAlignment="1" applyProtection="1">
      <alignment horizontal="right" vertical="center"/>
      <protection locked="0"/>
    </xf>
    <xf numFmtId="173" fontId="19" fillId="42" borderId="12" xfId="0" applyNumberFormat="1" applyFont="1" applyFill="1" applyBorder="1" applyAlignment="1" applyProtection="1">
      <alignment horizontal="right" vertical="center"/>
      <protection locked="0"/>
    </xf>
    <xf numFmtId="172" fontId="19" fillId="42" borderId="12" xfId="0" applyNumberFormat="1" applyFont="1" applyFill="1" applyBorder="1" applyAlignment="1" applyProtection="1">
      <alignment horizontal="right" vertical="center"/>
      <protection locked="0"/>
    </xf>
    <xf numFmtId="173" fontId="20" fillId="42" borderId="14" xfId="0" applyNumberFormat="1" applyFont="1" applyFill="1" applyBorder="1" applyAlignment="1" applyProtection="1">
      <alignment horizontal="right" vertical="center"/>
      <protection locked="0"/>
    </xf>
    <xf numFmtId="172" fontId="20" fillId="42" borderId="14" xfId="0" applyNumberFormat="1" applyFont="1" applyFill="1" applyBorder="1" applyAlignment="1" applyProtection="1">
      <alignment horizontal="right" vertical="center"/>
      <protection locked="0"/>
    </xf>
    <xf numFmtId="172" fontId="19" fillId="42" borderId="11" xfId="0" applyNumberFormat="1" applyFont="1" applyFill="1" applyBorder="1" applyAlignment="1">
      <alignment/>
    </xf>
    <xf numFmtId="172" fontId="19" fillId="42" borderId="12" xfId="0" applyNumberFormat="1" applyFont="1" applyFill="1" applyBorder="1" applyAlignment="1">
      <alignment/>
    </xf>
    <xf numFmtId="172" fontId="20" fillId="42" borderId="14" xfId="0" applyNumberFormat="1" applyFont="1" applyFill="1" applyBorder="1" applyAlignment="1">
      <alignment vertical="center"/>
    </xf>
    <xf numFmtId="1" fontId="21" fillId="42" borderId="10" xfId="0" applyNumberFormat="1" applyFont="1" applyFill="1" applyBorder="1" applyAlignment="1" applyProtection="1">
      <alignment horizontal="left" vertical="center" wrapText="1"/>
      <protection locked="0"/>
    </xf>
    <xf numFmtId="174" fontId="20" fillId="42" borderId="14" xfId="0" applyNumberFormat="1" applyFont="1" applyFill="1" applyBorder="1" applyAlignment="1">
      <alignment vertical="center"/>
    </xf>
    <xf numFmtId="176" fontId="19" fillId="42" borderId="10" xfId="0" applyNumberFormat="1" applyFont="1" applyFill="1" applyBorder="1" applyAlignment="1">
      <alignment/>
    </xf>
    <xf numFmtId="172" fontId="19" fillId="42" borderId="10" xfId="0" applyNumberFormat="1" applyFont="1" applyFill="1" applyBorder="1" applyAlignment="1">
      <alignment vertical="center" wrapText="1"/>
    </xf>
    <xf numFmtId="4" fontId="19" fillId="42" borderId="1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4">
    <dxf>
      <font>
        <b val="0"/>
        <sz val="12"/>
        <color indexed="10"/>
      </font>
    </dxf>
    <dxf>
      <font>
        <b val="0"/>
        <sz val="12"/>
        <color indexed="10"/>
      </font>
    </dxf>
    <dxf>
      <font>
        <b val="0"/>
        <sz val="12"/>
        <color indexed="10"/>
      </font>
    </dxf>
    <dxf>
      <font>
        <b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20" zoomScaleSheetLayoutView="12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" sqref="C4"/>
    </sheetView>
  </sheetViews>
  <sheetFormatPr defaultColWidth="8.796875" defaultRowHeight="15"/>
  <cols>
    <col min="1" max="1" width="14.09765625" style="1" customWidth="1"/>
    <col min="2" max="2" width="11.3984375" style="1" customWidth="1"/>
    <col min="3" max="3" width="13" style="1" customWidth="1"/>
    <col min="4" max="4" width="20.59765625" style="1" customWidth="1"/>
    <col min="5" max="5" width="23.09765625" style="1" customWidth="1"/>
    <col min="6" max="6" width="21.3984375" style="1" customWidth="1"/>
    <col min="7" max="16384" width="8.8984375" style="1" customWidth="1"/>
  </cols>
  <sheetData>
    <row r="1" ht="15.75">
      <c r="F1" s="2" t="s">
        <v>0</v>
      </c>
    </row>
    <row r="2" ht="15.75">
      <c r="C2" s="2"/>
    </row>
    <row r="3" spans="1:6" ht="42" customHeight="1">
      <c r="A3" s="154" t="s">
        <v>189</v>
      </c>
      <c r="B3" s="154"/>
      <c r="C3" s="154"/>
      <c r="D3" s="154"/>
      <c r="E3" s="154"/>
      <c r="F3" s="154"/>
    </row>
    <row r="4" spans="2:3" ht="15.75">
      <c r="B4" s="3"/>
      <c r="C4" s="2"/>
    </row>
    <row r="5" spans="1:6" ht="126">
      <c r="A5" s="4" t="s">
        <v>1</v>
      </c>
      <c r="B5" s="4" t="s">
        <v>190</v>
      </c>
      <c r="C5" s="4" t="s">
        <v>191</v>
      </c>
      <c r="D5" s="4" t="s">
        <v>192</v>
      </c>
      <c r="E5" s="5" t="s">
        <v>193</v>
      </c>
      <c r="F5" s="4" t="s">
        <v>194</v>
      </c>
    </row>
    <row r="6" spans="1:9" ht="15.75">
      <c r="A6" s="6" t="s">
        <v>2</v>
      </c>
      <c r="B6" s="137">
        <v>2162</v>
      </c>
      <c r="C6" s="7"/>
      <c r="D6" s="8">
        <v>147</v>
      </c>
      <c r="E6" s="7">
        <f aca="true" t="shared" si="0" ref="E6:E16">IF(C6=0,B6,0)</f>
        <v>2162</v>
      </c>
      <c r="F6" s="8">
        <v>147</v>
      </c>
      <c r="G6" s="9"/>
      <c r="H6" s="9"/>
      <c r="I6" s="9"/>
    </row>
    <row r="7" spans="1:9" ht="15.75">
      <c r="A7" s="10" t="s">
        <v>3</v>
      </c>
      <c r="B7" s="138">
        <v>1484</v>
      </c>
      <c r="C7" s="12"/>
      <c r="D7" s="8">
        <v>100.9</v>
      </c>
      <c r="E7" s="12">
        <f t="shared" si="0"/>
        <v>1484</v>
      </c>
      <c r="F7" s="8">
        <v>100.9</v>
      </c>
      <c r="G7" s="9"/>
      <c r="H7" s="9"/>
      <c r="I7" s="9"/>
    </row>
    <row r="8" spans="1:9" ht="15.75">
      <c r="A8" s="10" t="s">
        <v>4</v>
      </c>
      <c r="B8" s="138">
        <v>1600</v>
      </c>
      <c r="C8" s="12"/>
      <c r="D8" s="8">
        <v>108.8</v>
      </c>
      <c r="E8" s="12">
        <f t="shared" si="0"/>
        <v>1600</v>
      </c>
      <c r="F8" s="8">
        <v>108.8</v>
      </c>
      <c r="G8" s="9"/>
      <c r="H8" s="9"/>
      <c r="I8" s="9"/>
    </row>
    <row r="9" spans="1:9" ht="15.75">
      <c r="A9" s="10" t="s">
        <v>5</v>
      </c>
      <c r="B9" s="138">
        <v>850</v>
      </c>
      <c r="C9" s="12"/>
      <c r="D9" s="8">
        <v>57.8</v>
      </c>
      <c r="E9" s="12">
        <f t="shared" si="0"/>
        <v>850</v>
      </c>
      <c r="F9" s="8">
        <v>57.8</v>
      </c>
      <c r="G9" s="9"/>
      <c r="H9" s="9"/>
      <c r="I9" s="9"/>
    </row>
    <row r="10" spans="1:9" ht="15.75">
      <c r="A10" s="10" t="s">
        <v>6</v>
      </c>
      <c r="B10" s="138">
        <v>1466</v>
      </c>
      <c r="C10" s="12"/>
      <c r="D10" s="8">
        <v>99.7</v>
      </c>
      <c r="E10" s="12">
        <f t="shared" si="0"/>
        <v>1466</v>
      </c>
      <c r="F10" s="8">
        <v>99.7</v>
      </c>
      <c r="G10" s="9"/>
      <c r="H10" s="9"/>
      <c r="I10" s="9"/>
    </row>
    <row r="11" spans="1:9" ht="15.75">
      <c r="A11" s="10" t="s">
        <v>7</v>
      </c>
      <c r="B11" s="138">
        <v>1087</v>
      </c>
      <c r="C11" s="12"/>
      <c r="D11" s="8">
        <v>73.9</v>
      </c>
      <c r="E11" s="12">
        <f t="shared" si="0"/>
        <v>1087</v>
      </c>
      <c r="F11" s="8">
        <v>73.9</v>
      </c>
      <c r="G11" s="9"/>
      <c r="H11" s="9"/>
      <c r="I11" s="9"/>
    </row>
    <row r="12" spans="1:9" ht="15.75">
      <c r="A12" s="10" t="s">
        <v>8</v>
      </c>
      <c r="B12" s="138">
        <v>475</v>
      </c>
      <c r="C12" s="12"/>
      <c r="D12" s="8">
        <v>32.3</v>
      </c>
      <c r="E12" s="12">
        <f t="shared" si="0"/>
        <v>475</v>
      </c>
      <c r="F12" s="8">
        <v>32.3</v>
      </c>
      <c r="G12" s="9"/>
      <c r="H12" s="9"/>
      <c r="I12" s="9"/>
    </row>
    <row r="13" spans="1:9" ht="15.75">
      <c r="A13" s="10" t="s">
        <v>9</v>
      </c>
      <c r="B13" s="138">
        <v>959</v>
      </c>
      <c r="C13" s="12"/>
      <c r="D13" s="8">
        <v>65.2</v>
      </c>
      <c r="E13" s="12">
        <f t="shared" si="0"/>
        <v>959</v>
      </c>
      <c r="F13" s="8">
        <v>65.2</v>
      </c>
      <c r="G13" s="9"/>
      <c r="H13" s="9"/>
      <c r="I13" s="9"/>
    </row>
    <row r="14" spans="1:9" ht="15.75">
      <c r="A14" s="10" t="s">
        <v>10</v>
      </c>
      <c r="B14" s="138">
        <v>9672</v>
      </c>
      <c r="C14" s="12"/>
      <c r="D14" s="8">
        <v>657.7</v>
      </c>
      <c r="E14" s="12">
        <f t="shared" si="0"/>
        <v>9672</v>
      </c>
      <c r="F14" s="8">
        <v>657.7</v>
      </c>
      <c r="G14" s="9"/>
      <c r="H14" s="9"/>
      <c r="I14" s="9"/>
    </row>
    <row r="15" spans="1:9" ht="15.75">
      <c r="A15" s="10" t="s">
        <v>11</v>
      </c>
      <c r="B15" s="138">
        <v>2350</v>
      </c>
      <c r="C15" s="12"/>
      <c r="D15" s="8">
        <v>159.8</v>
      </c>
      <c r="E15" s="12">
        <f t="shared" si="0"/>
        <v>2350</v>
      </c>
      <c r="F15" s="8">
        <v>159.8</v>
      </c>
      <c r="G15" s="9"/>
      <c r="H15" s="9"/>
      <c r="I15" s="9"/>
    </row>
    <row r="16" spans="1:9" ht="15.75">
      <c r="A16" s="10" t="s">
        <v>12</v>
      </c>
      <c r="B16" s="138">
        <v>380</v>
      </c>
      <c r="C16" s="12"/>
      <c r="D16" s="8">
        <v>25.8</v>
      </c>
      <c r="E16" s="12">
        <f t="shared" si="0"/>
        <v>380</v>
      </c>
      <c r="F16" s="8">
        <v>25.8</v>
      </c>
      <c r="G16" s="9"/>
      <c r="H16" s="9"/>
      <c r="I16" s="9"/>
    </row>
    <row r="17" spans="1:9" ht="15.75">
      <c r="A17" s="10"/>
      <c r="B17" s="138"/>
      <c r="C17" s="12"/>
      <c r="D17" s="12"/>
      <c r="E17" s="12"/>
      <c r="F17" s="7"/>
      <c r="G17" s="9"/>
      <c r="H17" s="9"/>
      <c r="I17" s="9"/>
    </row>
    <row r="18" spans="1:9" ht="15.75">
      <c r="A18" s="10"/>
      <c r="B18" s="11"/>
      <c r="C18" s="12"/>
      <c r="D18" s="12"/>
      <c r="E18" s="12"/>
      <c r="F18" s="7"/>
      <c r="G18" s="9"/>
      <c r="H18" s="9"/>
      <c r="I18" s="9"/>
    </row>
    <row r="19" spans="1:9" ht="15.75">
      <c r="A19" s="10"/>
      <c r="B19" s="11"/>
      <c r="C19" s="12"/>
      <c r="D19" s="12"/>
      <c r="E19" s="12"/>
      <c r="F19" s="7"/>
      <c r="G19" s="9"/>
      <c r="H19" s="9"/>
      <c r="I19" s="9"/>
    </row>
    <row r="20" spans="1:9" ht="15.75">
      <c r="A20" s="10"/>
      <c r="B20" s="11"/>
      <c r="C20" s="12"/>
      <c r="D20" s="12"/>
      <c r="E20" s="12"/>
      <c r="F20" s="7"/>
      <c r="G20" s="9"/>
      <c r="H20" s="9"/>
      <c r="I20" s="9"/>
    </row>
    <row r="21" spans="1:9" ht="15.75">
      <c r="A21" s="10"/>
      <c r="B21" s="13"/>
      <c r="C21" s="12"/>
      <c r="D21" s="12"/>
      <c r="E21" s="12"/>
      <c r="F21" s="7"/>
      <c r="G21" s="9"/>
      <c r="H21" s="9"/>
      <c r="I21" s="9"/>
    </row>
    <row r="22" spans="1:9" ht="31.5">
      <c r="A22" s="14" t="s">
        <v>13</v>
      </c>
      <c r="B22" s="15">
        <f>SUM(B6:B21)</f>
        <v>22485</v>
      </c>
      <c r="C22" s="16">
        <f>SUM(C6:C20)</f>
        <v>0</v>
      </c>
      <c r="D22" s="17">
        <f>SUM(D6:D21)</f>
        <v>1528.9</v>
      </c>
      <c r="E22" s="16">
        <f>SUM(E6:E21)</f>
        <v>22485</v>
      </c>
      <c r="F22" s="17">
        <f>SUM(F6:F21)</f>
        <v>1528.9</v>
      </c>
      <c r="G22" s="9"/>
      <c r="H22" s="9"/>
      <c r="I22" s="9"/>
    </row>
    <row r="23" spans="1:6" ht="25.5" customHeight="1">
      <c r="A23" s="155" t="s">
        <v>14</v>
      </c>
      <c r="B23" s="155"/>
      <c r="C23" s="155"/>
      <c r="D23" s="155"/>
      <c r="E23" s="155"/>
      <c r="F23" s="155"/>
    </row>
  </sheetData>
  <sheetProtection selectLockedCells="1" selectUnlockedCells="1"/>
  <mergeCells count="2">
    <mergeCell ref="A3:F3"/>
    <mergeCell ref="A23:F23"/>
  </mergeCells>
  <conditionalFormatting sqref="A6:B22">
    <cfRule type="cellIs" priority="1" dxfId="3" operator="lessThan" stopIfTrue="1">
      <formula>0</formula>
    </cfRule>
  </conditionalFormatting>
  <printOptions/>
  <pageMargins left="0.9840277777777777" right="0.5902777777777778" top="0.5902777777777778" bottom="0.5902777777777778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6">
      <selection activeCell="C22" sqref="C22"/>
    </sheetView>
  </sheetViews>
  <sheetFormatPr defaultColWidth="8.796875" defaultRowHeight="15"/>
  <cols>
    <col min="1" max="1" width="3.19921875" style="1" customWidth="1"/>
    <col min="2" max="2" width="67.19921875" style="1" customWidth="1"/>
    <col min="3" max="3" width="8.59765625" style="1" customWidth="1"/>
    <col min="4" max="4" width="4" style="1" customWidth="1"/>
    <col min="5" max="16384" width="8.8984375" style="1" customWidth="1"/>
  </cols>
  <sheetData>
    <row r="1" spans="3:4" ht="15.75">
      <c r="C1" s="18" t="s">
        <v>15</v>
      </c>
      <c r="D1" s="19"/>
    </row>
    <row r="2" spans="1:4" ht="33" customHeight="1">
      <c r="A2" s="20"/>
      <c r="B2" s="21" t="s">
        <v>195</v>
      </c>
      <c r="C2" s="22"/>
      <c r="D2" s="23"/>
    </row>
    <row r="3" spans="1:3" ht="15.75" customHeight="1">
      <c r="A3" s="156"/>
      <c r="B3" s="156"/>
      <c r="C3" s="156"/>
    </row>
    <row r="4" spans="1:3" ht="15.75">
      <c r="A4" s="20"/>
      <c r="B4" s="24"/>
      <c r="C4" s="25" t="s">
        <v>16</v>
      </c>
    </row>
    <row r="5" spans="1:3" ht="34.5" customHeight="1">
      <c r="A5" s="4" t="s">
        <v>17</v>
      </c>
      <c r="B5" s="4" t="s">
        <v>18</v>
      </c>
      <c r="C5" s="4" t="s">
        <v>19</v>
      </c>
    </row>
    <row r="6" spans="1:3" ht="16.5" customHeight="1">
      <c r="A6" s="4" t="s">
        <v>20</v>
      </c>
      <c r="B6" s="26" t="s">
        <v>196</v>
      </c>
      <c r="C6" s="152">
        <v>23873</v>
      </c>
    </row>
    <row r="7" spans="1:3" ht="16.5" customHeight="1">
      <c r="A7" s="4" t="s">
        <v>21</v>
      </c>
      <c r="B7" s="26" t="s">
        <v>197</v>
      </c>
      <c r="C7" s="152">
        <v>102814</v>
      </c>
    </row>
    <row r="8" spans="1:3" ht="31.5">
      <c r="A8" s="4" t="s">
        <v>22</v>
      </c>
      <c r="B8" s="28" t="s">
        <v>226</v>
      </c>
      <c r="C8" s="152">
        <v>28964</v>
      </c>
    </row>
    <row r="9" spans="1:3" ht="47.25">
      <c r="A9" s="4" t="s">
        <v>23</v>
      </c>
      <c r="B9" s="28" t="s">
        <v>198</v>
      </c>
      <c r="C9" s="152">
        <v>0</v>
      </c>
    </row>
    <row r="10" spans="1:3" ht="31.5">
      <c r="A10" s="4" t="s">
        <v>24</v>
      </c>
      <c r="B10" s="26" t="s">
        <v>199</v>
      </c>
      <c r="C10" s="152">
        <v>1528.9</v>
      </c>
    </row>
    <row r="11" spans="1:3" ht="16.5" customHeight="1">
      <c r="A11" s="4" t="s">
        <v>25</v>
      </c>
      <c r="B11" s="26" t="s">
        <v>200</v>
      </c>
      <c r="C11" s="152">
        <v>2143</v>
      </c>
    </row>
    <row r="12" spans="1:3" ht="16.5" customHeight="1">
      <c r="A12" s="4" t="s">
        <v>26</v>
      </c>
      <c r="B12" s="26" t="s">
        <v>201</v>
      </c>
      <c r="C12" s="152">
        <v>28013</v>
      </c>
    </row>
    <row r="13" spans="1:3" ht="16.5" customHeight="1">
      <c r="A13" s="4" t="s">
        <v>27</v>
      </c>
      <c r="B13" s="26" t="s">
        <v>28</v>
      </c>
      <c r="C13" s="152">
        <v>0</v>
      </c>
    </row>
    <row r="14" spans="1:3" ht="31.5">
      <c r="A14" s="4" t="s">
        <v>29</v>
      </c>
      <c r="B14" s="29" t="s">
        <v>202</v>
      </c>
      <c r="C14" s="152">
        <f>SUM(C6:C13)</f>
        <v>187335.9</v>
      </c>
    </row>
    <row r="15" spans="1:3" ht="31.5">
      <c r="A15" s="4" t="s">
        <v>30</v>
      </c>
      <c r="B15" s="26" t="s">
        <v>203</v>
      </c>
      <c r="C15" s="152">
        <v>52294.6</v>
      </c>
    </row>
    <row r="16" spans="1:3" ht="15.75">
      <c r="A16" s="4" t="s">
        <v>31</v>
      </c>
      <c r="B16" s="26" t="s">
        <v>204</v>
      </c>
      <c r="C16" s="152">
        <f>C15-C6-C11</f>
        <v>26278.6</v>
      </c>
    </row>
    <row r="17" spans="1:3" ht="31.5">
      <c r="A17" s="4" t="s">
        <v>32</v>
      </c>
      <c r="B17" s="26" t="s">
        <v>205</v>
      </c>
      <c r="C17" s="152">
        <v>239347.6</v>
      </c>
    </row>
    <row r="18" spans="1:3" ht="36.75" customHeight="1">
      <c r="A18" s="4" t="s">
        <v>33</v>
      </c>
      <c r="B18" s="26" t="s">
        <v>206</v>
      </c>
      <c r="C18" s="152">
        <f>C15+C17</f>
        <v>291642.2</v>
      </c>
    </row>
    <row r="19" spans="1:3" ht="31.5">
      <c r="A19" s="4" t="s">
        <v>34</v>
      </c>
      <c r="B19" s="26" t="s">
        <v>207</v>
      </c>
      <c r="C19" s="153">
        <f>C14/C18*100</f>
        <v>64.23483981399126</v>
      </c>
    </row>
    <row r="20" spans="1:3" ht="47.25">
      <c r="A20" s="4" t="s">
        <v>35</v>
      </c>
      <c r="B20" s="26" t="s">
        <v>208</v>
      </c>
      <c r="C20" s="30">
        <v>60.3670143</v>
      </c>
    </row>
    <row r="21" spans="1:3" ht="16.5" customHeight="1">
      <c r="A21" s="4" t="s">
        <v>36</v>
      </c>
      <c r="B21" s="26" t="s">
        <v>209</v>
      </c>
      <c r="C21" s="29">
        <f>C17*C20/100</f>
        <v>144486.9999187068</v>
      </c>
    </row>
    <row r="22" spans="1:3" ht="34.5" customHeight="1">
      <c r="A22" s="4" t="s">
        <v>37</v>
      </c>
      <c r="B22" s="26" t="s">
        <v>210</v>
      </c>
      <c r="C22" s="29">
        <f>C14-C21</f>
        <v>42848.90008129319</v>
      </c>
    </row>
    <row r="23" spans="1:3" ht="31.5">
      <c r="A23" s="4" t="s">
        <v>38</v>
      </c>
      <c r="B23" s="26" t="s">
        <v>211</v>
      </c>
      <c r="C23" s="29">
        <f>C22/C15*100</f>
        <v>81.93752334140272</v>
      </c>
    </row>
    <row r="24" spans="1:3" ht="31.5">
      <c r="A24" s="4" t="s">
        <v>39</v>
      </c>
      <c r="B24" s="26" t="s">
        <v>212</v>
      </c>
      <c r="C24" s="29">
        <f>C22-C6-C11</f>
        <v>16832.90008129319</v>
      </c>
    </row>
    <row r="25" spans="1:3" ht="16.5" customHeight="1">
      <c r="A25" s="4" t="s">
        <v>40</v>
      </c>
      <c r="B25" s="26" t="s">
        <v>41</v>
      </c>
      <c r="C25" s="29">
        <f>C10</f>
        <v>1528.9</v>
      </c>
    </row>
    <row r="26" spans="1:3" ht="16.5" customHeight="1">
      <c r="A26" s="4" t="s">
        <v>42</v>
      </c>
      <c r="B26" s="26" t="s">
        <v>43</v>
      </c>
      <c r="C26" s="29">
        <f>C24-C25</f>
        <v>15304.000081293192</v>
      </c>
    </row>
    <row r="27" spans="1:3" ht="16.5" customHeight="1">
      <c r="A27" s="157" t="s">
        <v>213</v>
      </c>
      <c r="B27" s="157"/>
      <c r="C27" s="157"/>
    </row>
    <row r="28" spans="1:3" ht="31.5">
      <c r="A28" s="26"/>
      <c r="B28" s="26" t="s">
        <v>44</v>
      </c>
      <c r="C28" s="27">
        <f>C29+C30</f>
        <v>187335.9</v>
      </c>
    </row>
    <row r="29" spans="1:3" ht="16.5" customHeight="1">
      <c r="A29" s="26"/>
      <c r="B29" s="26" t="s">
        <v>45</v>
      </c>
      <c r="C29" s="27">
        <f>C21</f>
        <v>144486.9999187068</v>
      </c>
    </row>
    <row r="30" spans="1:3" ht="16.5" customHeight="1">
      <c r="A30" s="26"/>
      <c r="B30" s="26" t="s">
        <v>46</v>
      </c>
      <c r="C30" s="27">
        <f>C22</f>
        <v>42848.90008129319</v>
      </c>
    </row>
    <row r="31" spans="1:3" ht="16.5" customHeight="1">
      <c r="A31" s="26"/>
      <c r="B31" s="31" t="s">
        <v>47</v>
      </c>
      <c r="C31" s="27"/>
    </row>
    <row r="32" spans="1:3" ht="16.5" customHeight="1">
      <c r="A32" s="26"/>
      <c r="B32" s="31" t="s">
        <v>48</v>
      </c>
      <c r="C32" s="27">
        <f>C6</f>
        <v>23873</v>
      </c>
    </row>
    <row r="33" spans="1:3" ht="16.5" customHeight="1">
      <c r="A33" s="26"/>
      <c r="B33" s="31" t="s">
        <v>49</v>
      </c>
      <c r="C33" s="27">
        <f>C11</f>
        <v>2143</v>
      </c>
    </row>
    <row r="34" spans="1:3" ht="15.75">
      <c r="A34" s="26"/>
      <c r="B34" s="31" t="s">
        <v>50</v>
      </c>
      <c r="C34" s="27">
        <f>C24</f>
        <v>16832.90008129319</v>
      </c>
    </row>
    <row r="35" spans="2:3" ht="15.75">
      <c r="B35" s="1" t="s">
        <v>51</v>
      </c>
      <c r="C35" s="32"/>
    </row>
  </sheetData>
  <sheetProtection selectLockedCells="1" selectUnlockedCells="1"/>
  <mergeCells count="2">
    <mergeCell ref="A3:C3"/>
    <mergeCell ref="A27:C27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C7" sqref="C7"/>
    </sheetView>
  </sheetViews>
  <sheetFormatPr defaultColWidth="8.796875" defaultRowHeight="15"/>
  <cols>
    <col min="1" max="1" width="3.19921875" style="1" customWidth="1"/>
    <col min="2" max="2" width="60.09765625" style="1" customWidth="1"/>
    <col min="3" max="3" width="11.3984375" style="1" customWidth="1"/>
    <col min="4" max="4" width="4" style="1" customWidth="1"/>
    <col min="5" max="16384" width="8.8984375" style="1" customWidth="1"/>
  </cols>
  <sheetData>
    <row r="1" spans="3:4" ht="24" customHeight="1">
      <c r="C1" s="18" t="s">
        <v>52</v>
      </c>
      <c r="D1" s="19"/>
    </row>
    <row r="2" spans="1:4" ht="38.25" customHeight="1">
      <c r="A2" s="158" t="s">
        <v>214</v>
      </c>
      <c r="B2" s="158"/>
      <c r="C2" s="158"/>
      <c r="D2" s="23"/>
    </row>
    <row r="3" spans="1:3" ht="15.75" customHeight="1">
      <c r="A3" s="159"/>
      <c r="B3" s="159"/>
      <c r="C3" s="159"/>
    </row>
    <row r="4" spans="2:3" ht="15.75">
      <c r="B4" s="3"/>
      <c r="C4" s="2" t="s">
        <v>16</v>
      </c>
    </row>
    <row r="5" spans="1:3" ht="34.5" customHeight="1">
      <c r="A5" s="33" t="s">
        <v>17</v>
      </c>
      <c r="B5" s="34" t="s">
        <v>18</v>
      </c>
      <c r="C5" s="34" t="s">
        <v>19</v>
      </c>
    </row>
    <row r="6" spans="1:3" ht="31.5">
      <c r="A6" s="34" t="s">
        <v>20</v>
      </c>
      <c r="B6" s="26" t="s">
        <v>215</v>
      </c>
      <c r="C6" s="35">
        <f>'Приложение 2'!C24</f>
        <v>16832.90008129319</v>
      </c>
    </row>
    <row r="7" spans="1:3" ht="63">
      <c r="A7" s="34" t="s">
        <v>21</v>
      </c>
      <c r="B7" s="28" t="s">
        <v>216</v>
      </c>
      <c r="C7" s="36">
        <v>49.50959</v>
      </c>
    </row>
    <row r="8" spans="1:3" ht="31.5">
      <c r="A8" s="34" t="s">
        <v>22</v>
      </c>
      <c r="B8" s="28" t="s">
        <v>217</v>
      </c>
      <c r="C8" s="35">
        <f>C6*C7/100</f>
        <v>8333.899815357927</v>
      </c>
    </row>
    <row r="9" spans="1:3" ht="15.75">
      <c r="A9" s="34"/>
      <c r="B9" s="37" t="s">
        <v>53</v>
      </c>
      <c r="C9" s="35"/>
    </row>
    <row r="10" spans="1:3" ht="47.25">
      <c r="A10" s="34" t="s">
        <v>23</v>
      </c>
      <c r="B10" s="38" t="s">
        <v>218</v>
      </c>
      <c r="C10" s="35">
        <f>'Приложение 1'!F22</f>
        <v>1528.9</v>
      </c>
    </row>
    <row r="11" spans="1:3" ht="47.25">
      <c r="A11" s="34" t="s">
        <v>24</v>
      </c>
      <c r="B11" s="38" t="s">
        <v>219</v>
      </c>
      <c r="C11" s="35">
        <f>C8-C10</f>
        <v>6804.999815357927</v>
      </c>
    </row>
    <row r="12" spans="1:3" ht="31.5">
      <c r="A12" s="34" t="s">
        <v>25</v>
      </c>
      <c r="B12" s="26" t="s">
        <v>220</v>
      </c>
      <c r="C12" s="35">
        <f>C6-C8</f>
        <v>8499.000265935265</v>
      </c>
    </row>
  </sheetData>
  <sheetProtection selectLockedCells="1" selectUnlockedCells="1"/>
  <mergeCells count="2">
    <mergeCell ref="A2:C2"/>
    <mergeCell ref="A3:C3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Normal="72" zoomScaleSheetLayoutView="100" zoomScalePageLayoutView="0" workbookViewId="0" topLeftCell="A1">
      <pane xSplit="1" ySplit="12" topLeftCell="O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U26" sqref="U26"/>
    </sheetView>
  </sheetViews>
  <sheetFormatPr defaultColWidth="8.796875" defaultRowHeight="15"/>
  <cols>
    <col min="1" max="1" width="14.69921875" style="39" customWidth="1"/>
    <col min="2" max="2" width="11.69921875" style="39" customWidth="1"/>
    <col min="3" max="3" width="11" style="39" customWidth="1"/>
    <col min="4" max="4" width="10.3984375" style="39" customWidth="1"/>
    <col min="5" max="5" width="11.19921875" style="39" customWidth="1"/>
    <col min="6" max="6" width="15.69921875" style="39" customWidth="1"/>
    <col min="7" max="7" width="14" style="39" customWidth="1"/>
    <col min="8" max="8" width="17.69921875" style="1" customWidth="1"/>
    <col min="9" max="9" width="14.3984375" style="1" customWidth="1"/>
    <col min="10" max="10" width="15.09765625" style="1" customWidth="1"/>
    <col min="11" max="11" width="14.296875" style="1" customWidth="1"/>
    <col min="12" max="12" width="19.796875" style="1" customWidth="1"/>
    <col min="13" max="13" width="19" style="1" customWidth="1"/>
    <col min="14" max="14" width="18.8984375" style="1" customWidth="1"/>
    <col min="15" max="15" width="19.296875" style="1" customWidth="1"/>
    <col min="16" max="16" width="20.19921875" style="1" customWidth="1"/>
    <col min="17" max="20" width="15.796875" style="1" customWidth="1"/>
    <col min="21" max="21" width="17.8984375" style="1" customWidth="1"/>
    <col min="22" max="22" width="15.796875" style="1" customWidth="1"/>
    <col min="23" max="16384" width="8.8984375" style="1" customWidth="1"/>
  </cols>
  <sheetData>
    <row r="1" ht="15.75">
      <c r="K1" s="2" t="s">
        <v>54</v>
      </c>
    </row>
    <row r="2" spans="1:11" ht="28.5" customHeight="1">
      <c r="A2" s="40"/>
      <c r="B2" s="160" t="s">
        <v>221</v>
      </c>
      <c r="C2" s="160"/>
      <c r="D2" s="160"/>
      <c r="E2" s="160"/>
      <c r="F2" s="160"/>
      <c r="G2" s="160"/>
      <c r="H2" s="160"/>
      <c r="I2" s="160"/>
      <c r="J2" s="160"/>
      <c r="K2" s="41"/>
    </row>
    <row r="3" spans="1:7" s="43" customFormat="1" ht="15" customHeight="1">
      <c r="A3" s="42"/>
      <c r="B3" s="42"/>
      <c r="C3" s="42"/>
      <c r="D3" s="42"/>
      <c r="E3" s="42"/>
      <c r="F3" s="42"/>
      <c r="G3" s="42"/>
    </row>
    <row r="4" spans="1:22" s="43" customFormat="1" ht="15" customHeight="1">
      <c r="A4" s="44"/>
      <c r="B4" s="44" t="s">
        <v>55</v>
      </c>
      <c r="C4" s="44" t="s">
        <v>56</v>
      </c>
      <c r="D4" s="45" t="s">
        <v>57</v>
      </c>
      <c r="E4" s="46" t="s">
        <v>58</v>
      </c>
      <c r="F4" s="47" t="s">
        <v>59</v>
      </c>
      <c r="G4" s="48" t="s">
        <v>60</v>
      </c>
      <c r="H4" s="45" t="s">
        <v>61</v>
      </c>
      <c r="I4" s="46" t="s">
        <v>62</v>
      </c>
      <c r="J4" s="49" t="s">
        <v>63</v>
      </c>
      <c r="K4" s="46" t="s">
        <v>64</v>
      </c>
      <c r="L4" s="44" t="s">
        <v>65</v>
      </c>
      <c r="M4" s="44" t="s">
        <v>66</v>
      </c>
      <c r="N4" s="46" t="s">
        <v>67</v>
      </c>
      <c r="O4" s="46" t="s">
        <v>68</v>
      </c>
      <c r="P4" s="49" t="s">
        <v>69</v>
      </c>
      <c r="Q4" s="47" t="s">
        <v>70</v>
      </c>
      <c r="R4" s="47" t="s">
        <v>71</v>
      </c>
      <c r="S4" s="46" t="s">
        <v>72</v>
      </c>
      <c r="T4" s="50" t="s">
        <v>73</v>
      </c>
      <c r="U4" s="49" t="s">
        <v>74</v>
      </c>
      <c r="V4" s="51" t="s">
        <v>71</v>
      </c>
    </row>
    <row r="5" spans="1:22" s="60" customFormat="1" ht="15" customHeight="1">
      <c r="A5" s="52"/>
      <c r="B5" s="52" t="s">
        <v>75</v>
      </c>
      <c r="C5" s="52" t="s">
        <v>76</v>
      </c>
      <c r="D5" s="53" t="s">
        <v>77</v>
      </c>
      <c r="E5" s="52" t="s">
        <v>78</v>
      </c>
      <c r="F5" s="54" t="s">
        <v>79</v>
      </c>
      <c r="G5" s="55" t="s">
        <v>80</v>
      </c>
      <c r="H5" s="53" t="s">
        <v>81</v>
      </c>
      <c r="I5" s="52" t="s">
        <v>82</v>
      </c>
      <c r="J5" s="56" t="s">
        <v>83</v>
      </c>
      <c r="K5" s="52"/>
      <c r="L5" s="52" t="s">
        <v>84</v>
      </c>
      <c r="M5" s="52" t="s">
        <v>85</v>
      </c>
      <c r="N5" s="52" t="s">
        <v>86</v>
      </c>
      <c r="O5" s="52" t="s">
        <v>87</v>
      </c>
      <c r="P5" s="56" t="s">
        <v>88</v>
      </c>
      <c r="Q5" s="57" t="s">
        <v>84</v>
      </c>
      <c r="R5" s="57" t="s">
        <v>89</v>
      </c>
      <c r="S5" s="52" t="s">
        <v>90</v>
      </c>
      <c r="T5" s="58" t="s">
        <v>91</v>
      </c>
      <c r="U5" s="56" t="s">
        <v>92</v>
      </c>
      <c r="V5" s="59" t="s">
        <v>93</v>
      </c>
    </row>
    <row r="6" spans="1:22" s="60" customFormat="1" ht="15" customHeight="1">
      <c r="A6" s="52" t="s">
        <v>94</v>
      </c>
      <c r="B6" s="52" t="s">
        <v>95</v>
      </c>
      <c r="C6" s="52" t="s">
        <v>96</v>
      </c>
      <c r="D6" s="61"/>
      <c r="E6" s="55" t="s">
        <v>97</v>
      </c>
      <c r="F6" s="57" t="s">
        <v>98</v>
      </c>
      <c r="G6" s="52" t="s">
        <v>99</v>
      </c>
      <c r="H6" s="53" t="s">
        <v>100</v>
      </c>
      <c r="I6" s="52" t="s">
        <v>101</v>
      </c>
      <c r="J6" s="52"/>
      <c r="K6" s="52"/>
      <c r="L6" s="52" t="s">
        <v>90</v>
      </c>
      <c r="M6" s="52" t="s">
        <v>102</v>
      </c>
      <c r="N6" s="52" t="s">
        <v>103</v>
      </c>
      <c r="O6" s="52" t="s">
        <v>104</v>
      </c>
      <c r="P6" s="56" t="s">
        <v>105</v>
      </c>
      <c r="Q6" s="57" t="s">
        <v>106</v>
      </c>
      <c r="R6" s="57" t="s">
        <v>107</v>
      </c>
      <c r="S6" s="52" t="s">
        <v>108</v>
      </c>
      <c r="T6" s="58" t="s">
        <v>109</v>
      </c>
      <c r="U6" s="56" t="s">
        <v>103</v>
      </c>
      <c r="V6" s="59" t="s">
        <v>106</v>
      </c>
    </row>
    <row r="7" spans="1:22" s="60" customFormat="1" ht="15" customHeight="1">
      <c r="A7" s="52" t="s">
        <v>90</v>
      </c>
      <c r="B7" s="62" t="s">
        <v>185</v>
      </c>
      <c r="C7" s="52" t="s">
        <v>110</v>
      </c>
      <c r="D7" s="61"/>
      <c r="E7" s="52" t="s">
        <v>186</v>
      </c>
      <c r="F7" s="57" t="s">
        <v>111</v>
      </c>
      <c r="G7" s="52" t="s">
        <v>111</v>
      </c>
      <c r="H7" s="53" t="s">
        <v>112</v>
      </c>
      <c r="I7" s="52" t="s">
        <v>113</v>
      </c>
      <c r="J7" s="52"/>
      <c r="K7" s="52"/>
      <c r="L7" s="52" t="s">
        <v>186</v>
      </c>
      <c r="M7" s="52" t="s">
        <v>114</v>
      </c>
      <c r="N7" s="52" t="s">
        <v>115</v>
      </c>
      <c r="O7" s="52" t="s">
        <v>105</v>
      </c>
      <c r="P7" s="56" t="s">
        <v>116</v>
      </c>
      <c r="Q7" s="57" t="s">
        <v>117</v>
      </c>
      <c r="R7" s="57" t="s">
        <v>118</v>
      </c>
      <c r="S7" s="52" t="s">
        <v>119</v>
      </c>
      <c r="T7" s="58" t="s">
        <v>120</v>
      </c>
      <c r="U7" s="56" t="s">
        <v>115</v>
      </c>
      <c r="V7" s="59" t="s">
        <v>121</v>
      </c>
    </row>
    <row r="8" spans="1:22" s="60" customFormat="1" ht="15" customHeight="1">
      <c r="A8" s="52"/>
      <c r="B8" s="52" t="s">
        <v>122</v>
      </c>
      <c r="C8" s="62" t="str">
        <f>B7</f>
        <v>на 01.01.2019</v>
      </c>
      <c r="D8" s="61"/>
      <c r="E8" s="52" t="s">
        <v>16</v>
      </c>
      <c r="F8" s="57" t="s">
        <v>123</v>
      </c>
      <c r="G8" s="52" t="s">
        <v>124</v>
      </c>
      <c r="H8" s="53" t="s">
        <v>125</v>
      </c>
      <c r="I8" s="52"/>
      <c r="J8" s="52"/>
      <c r="K8" s="52"/>
      <c r="L8" s="52" t="s">
        <v>16</v>
      </c>
      <c r="M8" s="52" t="s">
        <v>126</v>
      </c>
      <c r="N8" s="52" t="s">
        <v>127</v>
      </c>
      <c r="O8" s="52" t="s">
        <v>128</v>
      </c>
      <c r="P8" s="56" t="s">
        <v>129</v>
      </c>
      <c r="Q8" s="57" t="s">
        <v>130</v>
      </c>
      <c r="R8" s="57" t="s">
        <v>131</v>
      </c>
      <c r="S8" s="52" t="s">
        <v>132</v>
      </c>
      <c r="T8" s="58" t="s">
        <v>16</v>
      </c>
      <c r="U8" s="56" t="s">
        <v>133</v>
      </c>
      <c r="V8" s="59" t="s">
        <v>134</v>
      </c>
    </row>
    <row r="9" spans="1:22" s="60" customFormat="1" ht="15" customHeight="1">
      <c r="A9" s="52"/>
      <c r="B9" s="52"/>
      <c r="C9" s="52"/>
      <c r="D9" s="61"/>
      <c r="E9" s="52"/>
      <c r="F9" s="57"/>
      <c r="G9" s="52" t="s">
        <v>135</v>
      </c>
      <c r="H9" s="53" t="s">
        <v>136</v>
      </c>
      <c r="I9" s="52"/>
      <c r="J9" s="52"/>
      <c r="K9" s="52"/>
      <c r="L9" s="52"/>
      <c r="M9" s="52" t="s">
        <v>186</v>
      </c>
      <c r="N9" s="52" t="s">
        <v>137</v>
      </c>
      <c r="O9" s="52" t="s">
        <v>138</v>
      </c>
      <c r="P9" s="56" t="s">
        <v>139</v>
      </c>
      <c r="Q9" s="57" t="s">
        <v>129</v>
      </c>
      <c r="R9" s="57" t="s">
        <v>140</v>
      </c>
      <c r="S9" s="52" t="s">
        <v>16</v>
      </c>
      <c r="T9" s="58"/>
      <c r="U9" s="56" t="s">
        <v>141</v>
      </c>
      <c r="V9" s="59"/>
    </row>
    <row r="10" spans="1:22" s="60" customFormat="1" ht="15" customHeight="1">
      <c r="A10" s="52"/>
      <c r="B10" s="52"/>
      <c r="C10" s="52"/>
      <c r="D10" s="61"/>
      <c r="E10" s="52"/>
      <c r="F10" s="57" t="s">
        <v>187</v>
      </c>
      <c r="G10" s="52"/>
      <c r="H10" s="53"/>
      <c r="I10" s="52"/>
      <c r="J10" s="52"/>
      <c r="K10" s="52"/>
      <c r="L10" s="52"/>
      <c r="M10" s="52" t="s">
        <v>16</v>
      </c>
      <c r="N10" s="52" t="s">
        <v>134</v>
      </c>
      <c r="O10" s="52" t="s">
        <v>142</v>
      </c>
      <c r="P10" s="56" t="s">
        <v>16</v>
      </c>
      <c r="Q10" s="57" t="s">
        <v>139</v>
      </c>
      <c r="R10" s="57" t="s">
        <v>134</v>
      </c>
      <c r="S10" s="52"/>
      <c r="T10" s="58"/>
      <c r="U10" s="56" t="s">
        <v>143</v>
      </c>
      <c r="V10" s="59"/>
    </row>
    <row r="11" spans="1:22" s="60" customFormat="1" ht="15" customHeight="1">
      <c r="A11" s="63"/>
      <c r="B11" s="63"/>
      <c r="C11" s="63"/>
      <c r="D11" s="64"/>
      <c r="E11" s="63"/>
      <c r="F11" s="65" t="s">
        <v>16</v>
      </c>
      <c r="G11" s="63"/>
      <c r="H11" s="64"/>
      <c r="I11" s="63"/>
      <c r="J11" s="63"/>
      <c r="K11" s="63"/>
      <c r="L11" s="63"/>
      <c r="M11" s="63"/>
      <c r="N11" s="63"/>
      <c r="O11" s="63" t="s">
        <v>134</v>
      </c>
      <c r="P11" s="63"/>
      <c r="Q11" s="65" t="s">
        <v>16</v>
      </c>
      <c r="R11" s="65"/>
      <c r="S11" s="63"/>
      <c r="T11" s="66"/>
      <c r="U11" s="67" t="s">
        <v>188</v>
      </c>
      <c r="V11" s="68"/>
    </row>
    <row r="12" spans="1:22" s="77" customFormat="1" ht="39.75" customHeight="1">
      <c r="A12" s="69" t="s">
        <v>144</v>
      </c>
      <c r="B12" s="69">
        <v>1</v>
      </c>
      <c r="C12" s="69">
        <v>2</v>
      </c>
      <c r="D12" s="70" t="s">
        <v>145</v>
      </c>
      <c r="E12" s="70">
        <v>4</v>
      </c>
      <c r="F12" s="69">
        <v>5</v>
      </c>
      <c r="G12" s="71" t="s">
        <v>146</v>
      </c>
      <c r="H12" s="69" t="s">
        <v>147</v>
      </c>
      <c r="I12" s="69">
        <v>8</v>
      </c>
      <c r="J12" s="69" t="s">
        <v>148</v>
      </c>
      <c r="K12" s="69" t="s">
        <v>149</v>
      </c>
      <c r="L12" s="69">
        <v>11</v>
      </c>
      <c r="M12" s="69">
        <v>12</v>
      </c>
      <c r="N12" s="72" t="s">
        <v>150</v>
      </c>
      <c r="O12" s="73" t="s">
        <v>151</v>
      </c>
      <c r="P12" s="72" t="s">
        <v>152</v>
      </c>
      <c r="Q12" s="72" t="s">
        <v>153</v>
      </c>
      <c r="R12" s="74" t="s">
        <v>154</v>
      </c>
      <c r="S12" s="72" t="s">
        <v>155</v>
      </c>
      <c r="T12" s="75" t="s">
        <v>156</v>
      </c>
      <c r="U12" s="76" t="s">
        <v>157</v>
      </c>
      <c r="V12" s="73" t="s">
        <v>158</v>
      </c>
    </row>
    <row r="13" spans="1:22" s="91" customFormat="1" ht="15.75">
      <c r="A13" s="78" t="s">
        <v>159</v>
      </c>
      <c r="B13" s="137">
        <v>2162</v>
      </c>
      <c r="C13" s="79">
        <v>7</v>
      </c>
      <c r="D13" s="80">
        <f aca="true" t="shared" si="0" ref="D13:D24">ROUND((1+C13/$C$24)/(1+B13/$B$24),4)</f>
        <v>1.0803</v>
      </c>
      <c r="E13" s="140">
        <v>5705.7</v>
      </c>
      <c r="F13" s="141">
        <v>680.6</v>
      </c>
      <c r="G13" s="81">
        <f aca="true" t="shared" si="1" ref="G13:G24">ROUND(F13/E13,4)</f>
        <v>0.1193</v>
      </c>
      <c r="H13" s="82">
        <f aca="true" t="shared" si="2" ref="H13:H24">ROUND((1+G13)/(1+$G$24),4)</f>
        <v>1.0119</v>
      </c>
      <c r="I13" s="83">
        <v>25</v>
      </c>
      <c r="J13" s="84">
        <f aca="true" t="shared" si="3" ref="J13:J23">ROUND(1+I13/$I$24,4)</f>
        <v>1.0685</v>
      </c>
      <c r="K13" s="84">
        <f aca="true" t="shared" si="4" ref="K13:K23">ROUND(($K$25*D13+$K$26*H13+$K$27*H13+$K$28*J13),4)</f>
        <v>1.0607</v>
      </c>
      <c r="L13" s="146">
        <v>975</v>
      </c>
      <c r="M13" s="86">
        <v>0</v>
      </c>
      <c r="N13" s="86">
        <f aca="true" t="shared" si="5" ref="N13:N23">ROUND(((L13-M13)/B13*1000/K13),0)</f>
        <v>425</v>
      </c>
      <c r="O13" s="86">
        <f aca="true" t="shared" si="6" ref="O13:O23">IF(N13&gt;$M$26,0,$M$26-N13)</f>
        <v>637</v>
      </c>
      <c r="P13" s="87">
        <f aca="true" t="shared" si="7" ref="P13:P23">ROUND(O13*B13*K13/1000,0)</f>
        <v>1461</v>
      </c>
      <c r="Q13" s="85">
        <f aca="true" t="shared" si="8" ref="Q13:Q23">L13+P13-M13</f>
        <v>2436</v>
      </c>
      <c r="R13" s="85">
        <f aca="true" t="shared" si="9" ref="R13:R23">ROUND(Q13*1000/B13/K13,0)</f>
        <v>1062</v>
      </c>
      <c r="S13" s="85">
        <f aca="true" t="shared" si="10" ref="S13:S23">IF(R13&lt;$S$27,ROUND(($S$27-R13)*B13*K13/1000,0),0)</f>
        <v>693</v>
      </c>
      <c r="T13" s="88">
        <f aca="true" t="shared" si="11" ref="T13:T23">ROUND(S13/$S$24*$S$26,0)</f>
        <v>438</v>
      </c>
      <c r="U13" s="89">
        <f aca="true" t="shared" si="12" ref="U13:U23">P13+T13</f>
        <v>1899</v>
      </c>
      <c r="V13" s="90">
        <f aca="true" t="shared" si="13" ref="V13:V23">ROUND((L13-M13+U13)/B13/K13*1000,0)</f>
        <v>1253</v>
      </c>
    </row>
    <row r="14" spans="1:22" s="91" customFormat="1" ht="15.75">
      <c r="A14" s="92" t="s">
        <v>160</v>
      </c>
      <c r="B14" s="138">
        <v>1484</v>
      </c>
      <c r="C14" s="93">
        <v>5</v>
      </c>
      <c r="D14" s="94">
        <f t="shared" si="0"/>
        <v>1.0615</v>
      </c>
      <c r="E14" s="142">
        <v>4111.3</v>
      </c>
      <c r="F14" s="143">
        <v>247.9</v>
      </c>
      <c r="G14" s="81">
        <f t="shared" si="1"/>
        <v>0.0603</v>
      </c>
      <c r="H14" s="95">
        <f t="shared" si="2"/>
        <v>0.9586</v>
      </c>
      <c r="I14" s="96">
        <v>70</v>
      </c>
      <c r="J14" s="97">
        <f t="shared" si="3"/>
        <v>1.1918</v>
      </c>
      <c r="K14" s="84">
        <f t="shared" si="4"/>
        <v>1.1027</v>
      </c>
      <c r="L14" s="147">
        <v>1119</v>
      </c>
      <c r="M14" s="99">
        <v>0</v>
      </c>
      <c r="N14" s="86">
        <f t="shared" si="5"/>
        <v>684</v>
      </c>
      <c r="O14" s="86">
        <f t="shared" si="6"/>
        <v>378</v>
      </c>
      <c r="P14" s="100">
        <f t="shared" si="7"/>
        <v>619</v>
      </c>
      <c r="Q14" s="85">
        <f t="shared" si="8"/>
        <v>1738</v>
      </c>
      <c r="R14" s="98">
        <f t="shared" si="9"/>
        <v>1062</v>
      </c>
      <c r="S14" s="85">
        <f t="shared" si="10"/>
        <v>494</v>
      </c>
      <c r="T14" s="101">
        <f t="shared" si="11"/>
        <v>312</v>
      </c>
      <c r="U14" s="102">
        <f t="shared" si="12"/>
        <v>931</v>
      </c>
      <c r="V14" s="90">
        <f t="shared" si="13"/>
        <v>1253</v>
      </c>
    </row>
    <row r="15" spans="1:22" s="91" customFormat="1" ht="15.75">
      <c r="A15" s="92" t="s">
        <v>161</v>
      </c>
      <c r="B15" s="138">
        <v>1600</v>
      </c>
      <c r="C15" s="93">
        <v>3</v>
      </c>
      <c r="D15" s="94">
        <f t="shared" si="0"/>
        <v>1.0073</v>
      </c>
      <c r="E15" s="142">
        <v>3532</v>
      </c>
      <c r="F15" s="143">
        <v>237.4</v>
      </c>
      <c r="G15" s="81">
        <f t="shared" si="1"/>
        <v>0.0672</v>
      </c>
      <c r="H15" s="95">
        <f t="shared" si="2"/>
        <v>0.9648</v>
      </c>
      <c r="I15" s="96">
        <v>26</v>
      </c>
      <c r="J15" s="97">
        <f t="shared" si="3"/>
        <v>1.0712</v>
      </c>
      <c r="K15" s="84">
        <f t="shared" si="4"/>
        <v>1.0291</v>
      </c>
      <c r="L15" s="147">
        <v>1416</v>
      </c>
      <c r="M15" s="99">
        <v>0</v>
      </c>
      <c r="N15" s="86">
        <f t="shared" si="5"/>
        <v>860</v>
      </c>
      <c r="O15" s="86">
        <f t="shared" si="6"/>
        <v>202</v>
      </c>
      <c r="P15" s="100">
        <f t="shared" si="7"/>
        <v>333</v>
      </c>
      <c r="Q15" s="85">
        <f t="shared" si="8"/>
        <v>1749</v>
      </c>
      <c r="R15" s="98">
        <f t="shared" si="9"/>
        <v>1062</v>
      </c>
      <c r="S15" s="85">
        <f t="shared" si="10"/>
        <v>497</v>
      </c>
      <c r="T15" s="101">
        <f t="shared" si="11"/>
        <v>314</v>
      </c>
      <c r="U15" s="102">
        <f t="shared" si="12"/>
        <v>647</v>
      </c>
      <c r="V15" s="90">
        <f t="shared" si="13"/>
        <v>1253</v>
      </c>
    </row>
    <row r="16" spans="1:22" s="91" customFormat="1" ht="15.75">
      <c r="A16" s="92" t="s">
        <v>162</v>
      </c>
      <c r="B16" s="138">
        <v>850</v>
      </c>
      <c r="C16" s="93">
        <v>2</v>
      </c>
      <c r="D16" s="94">
        <f t="shared" si="0"/>
        <v>1.0143</v>
      </c>
      <c r="E16" s="142">
        <v>3264.2</v>
      </c>
      <c r="F16" s="143">
        <v>421.9</v>
      </c>
      <c r="G16" s="81">
        <f t="shared" si="1"/>
        <v>0.1293</v>
      </c>
      <c r="H16" s="95">
        <f t="shared" si="2"/>
        <v>1.021</v>
      </c>
      <c r="I16" s="96">
        <v>55</v>
      </c>
      <c r="J16" s="97">
        <f t="shared" si="3"/>
        <v>1.1507</v>
      </c>
      <c r="K16" s="84">
        <f t="shared" si="4"/>
        <v>1.0807</v>
      </c>
      <c r="L16" s="147">
        <v>763</v>
      </c>
      <c r="M16" s="99">
        <v>0</v>
      </c>
      <c r="N16" s="86">
        <f t="shared" si="5"/>
        <v>831</v>
      </c>
      <c r="O16" s="86">
        <f t="shared" si="6"/>
        <v>231</v>
      </c>
      <c r="P16" s="100">
        <f t="shared" si="7"/>
        <v>212</v>
      </c>
      <c r="Q16" s="85">
        <f t="shared" si="8"/>
        <v>975</v>
      </c>
      <c r="R16" s="98">
        <f t="shared" si="9"/>
        <v>1061</v>
      </c>
      <c r="S16" s="85">
        <f t="shared" si="10"/>
        <v>278</v>
      </c>
      <c r="T16" s="101">
        <f t="shared" si="11"/>
        <v>176</v>
      </c>
      <c r="U16" s="102">
        <f t="shared" si="12"/>
        <v>388</v>
      </c>
      <c r="V16" s="90">
        <f t="shared" si="13"/>
        <v>1253</v>
      </c>
    </row>
    <row r="17" spans="1:22" s="91" customFormat="1" ht="15.75">
      <c r="A17" s="92" t="s">
        <v>163</v>
      </c>
      <c r="B17" s="138">
        <v>1466</v>
      </c>
      <c r="C17" s="93">
        <v>3</v>
      </c>
      <c r="D17" s="94">
        <f t="shared" si="0"/>
        <v>1.0129</v>
      </c>
      <c r="E17" s="142">
        <v>2580.3</v>
      </c>
      <c r="F17" s="143">
        <v>146.3</v>
      </c>
      <c r="G17" s="81">
        <f t="shared" si="1"/>
        <v>0.0567</v>
      </c>
      <c r="H17" s="95">
        <f t="shared" si="2"/>
        <v>0.9553</v>
      </c>
      <c r="I17" s="96">
        <v>43</v>
      </c>
      <c r="J17" s="97">
        <f t="shared" si="3"/>
        <v>1.1178</v>
      </c>
      <c r="K17" s="84">
        <f t="shared" si="4"/>
        <v>1.0512</v>
      </c>
      <c r="L17" s="147">
        <v>579</v>
      </c>
      <c r="M17" s="99">
        <v>0</v>
      </c>
      <c r="N17" s="86">
        <f t="shared" si="5"/>
        <v>376</v>
      </c>
      <c r="O17" s="86">
        <f t="shared" si="6"/>
        <v>686</v>
      </c>
      <c r="P17" s="100">
        <f t="shared" si="7"/>
        <v>1057</v>
      </c>
      <c r="Q17" s="85">
        <f t="shared" si="8"/>
        <v>1636</v>
      </c>
      <c r="R17" s="98">
        <f t="shared" si="9"/>
        <v>1062</v>
      </c>
      <c r="S17" s="85">
        <f t="shared" si="10"/>
        <v>465</v>
      </c>
      <c r="T17" s="101">
        <f t="shared" si="11"/>
        <v>294</v>
      </c>
      <c r="U17" s="102">
        <f t="shared" si="12"/>
        <v>1351</v>
      </c>
      <c r="V17" s="90">
        <f t="shared" si="13"/>
        <v>1252</v>
      </c>
    </row>
    <row r="18" spans="1:22" s="91" customFormat="1" ht="15.75">
      <c r="A18" s="92" t="s">
        <v>164</v>
      </c>
      <c r="B18" s="138">
        <v>1087</v>
      </c>
      <c r="C18" s="93">
        <v>3</v>
      </c>
      <c r="D18" s="94">
        <f t="shared" si="0"/>
        <v>1.0292</v>
      </c>
      <c r="E18" s="142">
        <v>3365.7</v>
      </c>
      <c r="F18" s="143">
        <v>480.5</v>
      </c>
      <c r="G18" s="81">
        <f t="shared" si="1"/>
        <v>0.1428</v>
      </c>
      <c r="H18" s="95">
        <f t="shared" si="2"/>
        <v>1.0332</v>
      </c>
      <c r="I18" s="96">
        <v>23</v>
      </c>
      <c r="J18" s="97">
        <f t="shared" si="3"/>
        <v>1.063</v>
      </c>
      <c r="K18" s="84">
        <f t="shared" si="4"/>
        <v>1.0461</v>
      </c>
      <c r="L18" s="147">
        <v>531</v>
      </c>
      <c r="M18" s="99">
        <v>0</v>
      </c>
      <c r="N18" s="86">
        <f t="shared" si="5"/>
        <v>467</v>
      </c>
      <c r="O18" s="86">
        <f t="shared" si="6"/>
        <v>595</v>
      </c>
      <c r="P18" s="100">
        <f t="shared" si="7"/>
        <v>677</v>
      </c>
      <c r="Q18" s="85">
        <f t="shared" si="8"/>
        <v>1208</v>
      </c>
      <c r="R18" s="98">
        <f t="shared" si="9"/>
        <v>1062</v>
      </c>
      <c r="S18" s="85">
        <f t="shared" si="10"/>
        <v>343</v>
      </c>
      <c r="T18" s="101">
        <f t="shared" si="11"/>
        <v>217</v>
      </c>
      <c r="U18" s="102">
        <f t="shared" si="12"/>
        <v>894</v>
      </c>
      <c r="V18" s="90">
        <f t="shared" si="13"/>
        <v>1253</v>
      </c>
    </row>
    <row r="19" spans="1:22" s="91" customFormat="1" ht="15.75">
      <c r="A19" s="92" t="s">
        <v>165</v>
      </c>
      <c r="B19" s="138">
        <v>475</v>
      </c>
      <c r="C19" s="93">
        <v>2</v>
      </c>
      <c r="D19" s="94">
        <f t="shared" si="0"/>
        <v>1.0309</v>
      </c>
      <c r="E19" s="142">
        <v>1395.2</v>
      </c>
      <c r="F19" s="143">
        <v>96.3</v>
      </c>
      <c r="G19" s="81">
        <f t="shared" si="1"/>
        <v>0.069</v>
      </c>
      <c r="H19" s="95">
        <f t="shared" si="2"/>
        <v>0.9665</v>
      </c>
      <c r="I19" s="96">
        <v>22</v>
      </c>
      <c r="J19" s="97">
        <f t="shared" si="3"/>
        <v>1.0603</v>
      </c>
      <c r="K19" s="84">
        <f t="shared" si="4"/>
        <v>1.0318</v>
      </c>
      <c r="L19" s="147">
        <v>541</v>
      </c>
      <c r="M19" s="99">
        <v>0</v>
      </c>
      <c r="N19" s="86">
        <f t="shared" si="5"/>
        <v>1104</v>
      </c>
      <c r="O19" s="86">
        <f t="shared" si="6"/>
        <v>0</v>
      </c>
      <c r="P19" s="100">
        <f t="shared" si="7"/>
        <v>0</v>
      </c>
      <c r="Q19" s="85">
        <f t="shared" si="8"/>
        <v>541</v>
      </c>
      <c r="R19" s="98">
        <f t="shared" si="9"/>
        <v>1104</v>
      </c>
      <c r="S19" s="85">
        <f t="shared" si="10"/>
        <v>127</v>
      </c>
      <c r="T19" s="101">
        <f t="shared" si="11"/>
        <v>80</v>
      </c>
      <c r="U19" s="102">
        <f t="shared" si="12"/>
        <v>80</v>
      </c>
      <c r="V19" s="90">
        <f t="shared" si="13"/>
        <v>1267</v>
      </c>
    </row>
    <row r="20" spans="1:22" s="91" customFormat="1" ht="15.75">
      <c r="A20" s="92" t="s">
        <v>166</v>
      </c>
      <c r="B20" s="138">
        <v>959</v>
      </c>
      <c r="C20" s="93">
        <v>3</v>
      </c>
      <c r="D20" s="94">
        <f t="shared" si="0"/>
        <v>1.0348</v>
      </c>
      <c r="E20" s="142">
        <v>3219.2</v>
      </c>
      <c r="F20" s="143">
        <v>280.1</v>
      </c>
      <c r="G20" s="81">
        <f t="shared" si="1"/>
        <v>0.087</v>
      </c>
      <c r="H20" s="95">
        <f t="shared" si="2"/>
        <v>0.9827</v>
      </c>
      <c r="I20" s="96">
        <v>21</v>
      </c>
      <c r="J20" s="97">
        <f t="shared" si="3"/>
        <v>1.0575</v>
      </c>
      <c r="K20" s="84">
        <f t="shared" si="4"/>
        <v>1.035</v>
      </c>
      <c r="L20" s="147">
        <v>1076</v>
      </c>
      <c r="M20" s="99">
        <v>0</v>
      </c>
      <c r="N20" s="86">
        <f t="shared" si="5"/>
        <v>1084</v>
      </c>
      <c r="O20" s="86">
        <f t="shared" si="6"/>
        <v>0</v>
      </c>
      <c r="P20" s="100">
        <f t="shared" si="7"/>
        <v>0</v>
      </c>
      <c r="Q20" s="85">
        <f t="shared" si="8"/>
        <v>1076</v>
      </c>
      <c r="R20" s="98">
        <f t="shared" si="9"/>
        <v>1084</v>
      </c>
      <c r="S20" s="85">
        <f t="shared" si="10"/>
        <v>278</v>
      </c>
      <c r="T20" s="101">
        <f t="shared" si="11"/>
        <v>176</v>
      </c>
      <c r="U20" s="102">
        <f t="shared" si="12"/>
        <v>176</v>
      </c>
      <c r="V20" s="90">
        <f t="shared" si="13"/>
        <v>1261</v>
      </c>
    </row>
    <row r="21" spans="1:22" s="91" customFormat="1" ht="15.75">
      <c r="A21" s="92" t="s">
        <v>167</v>
      </c>
      <c r="B21" s="138">
        <v>9672</v>
      </c>
      <c r="C21" s="93">
        <v>1</v>
      </c>
      <c r="D21" s="94">
        <f t="shared" si="0"/>
        <v>0.7176</v>
      </c>
      <c r="E21" s="142">
        <v>11508.4</v>
      </c>
      <c r="F21" s="143">
        <v>1053.5</v>
      </c>
      <c r="G21" s="81">
        <f t="shared" si="1"/>
        <v>0.0915</v>
      </c>
      <c r="H21" s="95">
        <f t="shared" si="2"/>
        <v>0.9868</v>
      </c>
      <c r="I21" s="96">
        <v>0</v>
      </c>
      <c r="J21" s="97">
        <f t="shared" si="3"/>
        <v>1</v>
      </c>
      <c r="K21" s="84">
        <f t="shared" si="4"/>
        <v>0.9072</v>
      </c>
      <c r="L21" s="147">
        <v>12863</v>
      </c>
      <c r="M21" s="99">
        <v>0</v>
      </c>
      <c r="N21" s="86">
        <f t="shared" si="5"/>
        <v>1466</v>
      </c>
      <c r="O21" s="86">
        <f t="shared" si="6"/>
        <v>0</v>
      </c>
      <c r="P21" s="100">
        <f t="shared" si="7"/>
        <v>0</v>
      </c>
      <c r="Q21" s="85">
        <f t="shared" si="8"/>
        <v>12863</v>
      </c>
      <c r="R21" s="98">
        <f t="shared" si="9"/>
        <v>1466</v>
      </c>
      <c r="S21" s="85">
        <f t="shared" si="10"/>
        <v>0</v>
      </c>
      <c r="T21" s="101">
        <f t="shared" si="11"/>
        <v>0</v>
      </c>
      <c r="U21" s="102">
        <f t="shared" si="12"/>
        <v>0</v>
      </c>
      <c r="V21" s="90">
        <f t="shared" si="13"/>
        <v>1466</v>
      </c>
    </row>
    <row r="22" spans="1:22" s="91" customFormat="1" ht="15.75">
      <c r="A22" s="92" t="s">
        <v>168</v>
      </c>
      <c r="B22" s="138">
        <v>2350</v>
      </c>
      <c r="C22" s="93">
        <v>7</v>
      </c>
      <c r="D22" s="94">
        <f t="shared" si="0"/>
        <v>1.0722</v>
      </c>
      <c r="E22" s="142">
        <v>12142</v>
      </c>
      <c r="F22" s="143">
        <v>1613.1</v>
      </c>
      <c r="G22" s="81">
        <f t="shared" si="1"/>
        <v>0.1329</v>
      </c>
      <c r="H22" s="95">
        <f t="shared" si="2"/>
        <v>1.0242</v>
      </c>
      <c r="I22" s="96">
        <v>22</v>
      </c>
      <c r="J22" s="97">
        <f t="shared" si="3"/>
        <v>1.0603</v>
      </c>
      <c r="K22" s="84">
        <f t="shared" si="4"/>
        <v>1.0567</v>
      </c>
      <c r="L22" s="147">
        <v>3923</v>
      </c>
      <c r="M22" s="99">
        <v>0</v>
      </c>
      <c r="N22" s="86">
        <f t="shared" si="5"/>
        <v>1580</v>
      </c>
      <c r="O22" s="86">
        <f t="shared" si="6"/>
        <v>0</v>
      </c>
      <c r="P22" s="100">
        <f t="shared" si="7"/>
        <v>0</v>
      </c>
      <c r="Q22" s="85">
        <f t="shared" si="8"/>
        <v>3923</v>
      </c>
      <c r="R22" s="98">
        <f t="shared" si="9"/>
        <v>1580</v>
      </c>
      <c r="S22" s="85">
        <f t="shared" si="10"/>
        <v>0</v>
      </c>
      <c r="T22" s="101">
        <f t="shared" si="11"/>
        <v>0</v>
      </c>
      <c r="U22" s="102">
        <f t="shared" si="12"/>
        <v>0</v>
      </c>
      <c r="V22" s="90">
        <f t="shared" si="13"/>
        <v>1580</v>
      </c>
    </row>
    <row r="23" spans="1:22" s="91" customFormat="1" ht="15.75">
      <c r="A23" s="92" t="s">
        <v>169</v>
      </c>
      <c r="B23" s="138">
        <v>380</v>
      </c>
      <c r="C23" s="93">
        <v>2</v>
      </c>
      <c r="D23" s="94">
        <f t="shared" si="0"/>
        <v>1.0351</v>
      </c>
      <c r="E23" s="142">
        <v>1470.6</v>
      </c>
      <c r="F23" s="143">
        <v>290.3</v>
      </c>
      <c r="G23" s="81">
        <f t="shared" si="1"/>
        <v>0.1974</v>
      </c>
      <c r="H23" s="95">
        <f t="shared" si="2"/>
        <v>1.0825</v>
      </c>
      <c r="I23" s="96">
        <v>58</v>
      </c>
      <c r="J23" s="97">
        <f t="shared" si="3"/>
        <v>1.1589</v>
      </c>
      <c r="K23" s="84">
        <f t="shared" si="4"/>
        <v>1.1038</v>
      </c>
      <c r="L23" s="147">
        <v>87</v>
      </c>
      <c r="M23" s="99">
        <v>0</v>
      </c>
      <c r="N23" s="86">
        <f t="shared" si="5"/>
        <v>207</v>
      </c>
      <c r="O23" s="86">
        <f t="shared" si="6"/>
        <v>855</v>
      </c>
      <c r="P23" s="100">
        <f t="shared" si="7"/>
        <v>359</v>
      </c>
      <c r="Q23" s="85">
        <f t="shared" si="8"/>
        <v>446</v>
      </c>
      <c r="R23" s="98">
        <f t="shared" si="9"/>
        <v>1063</v>
      </c>
      <c r="S23" s="85">
        <f t="shared" si="10"/>
        <v>126</v>
      </c>
      <c r="T23" s="101">
        <f t="shared" si="11"/>
        <v>80</v>
      </c>
      <c r="U23" s="102">
        <f t="shared" si="12"/>
        <v>439</v>
      </c>
      <c r="V23" s="90">
        <f t="shared" si="13"/>
        <v>1254</v>
      </c>
    </row>
    <row r="24" spans="1:22" s="113" customFormat="1" ht="31.5">
      <c r="A24" s="103" t="s">
        <v>13</v>
      </c>
      <c r="B24" s="139">
        <f>SUM(B13:B23)</f>
        <v>22485</v>
      </c>
      <c r="C24" s="15">
        <f>SUM(C13:C23)</f>
        <v>38</v>
      </c>
      <c r="D24" s="104">
        <f t="shared" si="0"/>
        <v>1</v>
      </c>
      <c r="E24" s="144">
        <f>SUM(E13:E23)</f>
        <v>52294.6</v>
      </c>
      <c r="F24" s="145">
        <f>SUM(F13:F23)</f>
        <v>5547.900000000001</v>
      </c>
      <c r="G24" s="105">
        <f t="shared" si="1"/>
        <v>0.1061</v>
      </c>
      <c r="H24" s="106">
        <f t="shared" si="2"/>
        <v>1</v>
      </c>
      <c r="I24" s="107">
        <f>SUM(I13:I23)</f>
        <v>365</v>
      </c>
      <c r="J24" s="97"/>
      <c r="K24" s="150"/>
      <c r="L24" s="148">
        <f>SUM(L13:L23)</f>
        <v>23873</v>
      </c>
      <c r="M24" s="109">
        <f>SUM(M13:M23)</f>
        <v>0</v>
      </c>
      <c r="N24" s="110">
        <f>ROUND(((L24-M24)/B24*1000),0)</f>
        <v>1062</v>
      </c>
      <c r="O24" s="111"/>
      <c r="P24" s="108">
        <f aca="true" t="shared" si="14" ref="P24:U24">SUM(P13:P23)</f>
        <v>4718</v>
      </c>
      <c r="Q24" s="108">
        <f t="shared" si="14"/>
        <v>28591</v>
      </c>
      <c r="R24" s="108">
        <f t="shared" si="14"/>
        <v>12668</v>
      </c>
      <c r="S24" s="108">
        <f t="shared" si="14"/>
        <v>3301</v>
      </c>
      <c r="T24" s="108">
        <f t="shared" si="14"/>
        <v>2087</v>
      </c>
      <c r="U24" s="108">
        <f t="shared" si="14"/>
        <v>6805</v>
      </c>
      <c r="V24" s="112"/>
    </row>
    <row r="25" spans="3:19" s="114" customFormat="1" ht="56.25" customHeight="1">
      <c r="C25" s="115"/>
      <c r="D25" s="116"/>
      <c r="E25" s="116"/>
      <c r="F25" s="117"/>
      <c r="G25" s="117"/>
      <c r="H25" s="118"/>
      <c r="I25" s="161" t="s">
        <v>170</v>
      </c>
      <c r="J25" s="119" t="s">
        <v>171</v>
      </c>
      <c r="K25" s="151">
        <v>0.319</v>
      </c>
      <c r="L25" s="149" t="s">
        <v>172</v>
      </c>
      <c r="M25" s="120">
        <v>6805</v>
      </c>
      <c r="Q25" s="121" t="s">
        <v>173</v>
      </c>
      <c r="R25" s="122">
        <v>4718</v>
      </c>
      <c r="S25" s="123" t="s">
        <v>16</v>
      </c>
    </row>
    <row r="26" spans="2:21" s="114" customFormat="1" ht="55.5" customHeight="1">
      <c r="B26" s="124"/>
      <c r="C26" s="115"/>
      <c r="D26" s="116"/>
      <c r="E26" s="116"/>
      <c r="F26" s="125"/>
      <c r="G26" s="117"/>
      <c r="H26" s="118"/>
      <c r="I26" s="161"/>
      <c r="J26" s="119" t="s">
        <v>174</v>
      </c>
      <c r="K26" s="151">
        <v>0</v>
      </c>
      <c r="L26" s="126" t="s">
        <v>175</v>
      </c>
      <c r="M26" s="127">
        <f>N24</f>
        <v>1062</v>
      </c>
      <c r="Q26" s="162" t="s">
        <v>176</v>
      </c>
      <c r="R26" s="162"/>
      <c r="S26" s="128">
        <v>2087</v>
      </c>
      <c r="T26" s="129" t="s">
        <v>16</v>
      </c>
      <c r="U26" s="114" t="s">
        <v>51</v>
      </c>
    </row>
    <row r="27" spans="1:20" s="114" customFormat="1" ht="63" customHeight="1">
      <c r="A27" s="130"/>
      <c r="B27" s="124"/>
      <c r="C27" s="115"/>
      <c r="D27" s="116"/>
      <c r="E27" s="116"/>
      <c r="F27" s="117"/>
      <c r="G27" s="117"/>
      <c r="H27" s="118"/>
      <c r="I27" s="161"/>
      <c r="J27" s="131" t="s">
        <v>177</v>
      </c>
      <c r="K27" s="151">
        <v>0.204</v>
      </c>
      <c r="Q27" s="162" t="s">
        <v>178</v>
      </c>
      <c r="R27" s="162"/>
      <c r="S27" s="132">
        <f>ROUND((L24-M24+M25)/B24*1000,0)</f>
        <v>1364</v>
      </c>
      <c r="T27" s="129" t="s">
        <v>179</v>
      </c>
    </row>
    <row r="28" spans="1:11" s="114" customFormat="1" ht="31.5" customHeight="1">
      <c r="A28" s="130"/>
      <c r="B28" s="124"/>
      <c r="C28" s="115"/>
      <c r="D28" s="116"/>
      <c r="E28" s="116"/>
      <c r="F28" s="117"/>
      <c r="G28" s="117"/>
      <c r="H28" s="118"/>
      <c r="I28" s="161"/>
      <c r="J28" s="119" t="s">
        <v>180</v>
      </c>
      <c r="K28" s="151">
        <v>0.477</v>
      </c>
    </row>
    <row r="53" ht="32.25" customHeight="1"/>
  </sheetData>
  <sheetProtection selectLockedCells="1" selectUnlockedCells="1"/>
  <mergeCells count="4">
    <mergeCell ref="B2:J2"/>
    <mergeCell ref="I25:I28"/>
    <mergeCell ref="Q26:R26"/>
    <mergeCell ref="Q27:R27"/>
  </mergeCells>
  <conditionalFormatting sqref="I51:IV52 H38:IV38 M25 L25:L26 M11:M12 P7 P9 P5 Q5:Q11 P12:Q12 R5:S12 T5:T6 T8:T12 O5:O12 N5 N7:N12 A3:B7 C3:C6 H4:H12 U9:U12 L2:IV2 D3:G3 I5:K12 L4:M6 L9:L12 F6:G65536 D4:D65536 E8:E65536 M8 V5:IV12 C8:C65536 A9:B65536">
    <cfRule type="cellIs" priority="1" dxfId="3" operator="lessThan" stopIfTrue="1">
      <formula>0</formula>
    </cfRule>
  </conditionalFormatting>
  <printOptions/>
  <pageMargins left="0.7479166666666667" right="0" top="0.5513888888888889" bottom="0.15763888888888888" header="0.5118055555555555" footer="0.5118055555555555"/>
  <pageSetup horizontalDpi="300" verticalDpi="300" orientation="landscape" paperSize="9" scale="72" r:id="rId1"/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20" zoomScaleSheetLayoutView="120" zoomScalePageLayoutView="0" workbookViewId="0" topLeftCell="A1">
      <selection activeCell="H16" sqref="H16"/>
    </sheetView>
  </sheetViews>
  <sheetFormatPr defaultColWidth="8.796875" defaultRowHeight="15"/>
  <cols>
    <col min="1" max="1" width="15.59765625" style="1" customWidth="1"/>
    <col min="2" max="2" width="17.09765625" style="1" customWidth="1"/>
    <col min="3" max="3" width="22.09765625" style="1" customWidth="1"/>
    <col min="4" max="4" width="16.09765625" style="1" customWidth="1"/>
    <col min="5" max="16384" width="8.8984375" style="1" customWidth="1"/>
  </cols>
  <sheetData>
    <row r="1" ht="15.75">
      <c r="D1" s="2" t="s">
        <v>181</v>
      </c>
    </row>
    <row r="3" spans="1:4" ht="39.75" customHeight="1">
      <c r="A3" s="154" t="s">
        <v>222</v>
      </c>
      <c r="B3" s="154"/>
      <c r="C3" s="154"/>
      <c r="D3" s="154"/>
    </row>
    <row r="5" ht="15.75">
      <c r="D5" s="2" t="s">
        <v>182</v>
      </c>
    </row>
    <row r="6" spans="1:4" ht="94.5">
      <c r="A6" s="4" t="s">
        <v>1</v>
      </c>
      <c r="B6" s="4" t="s">
        <v>223</v>
      </c>
      <c r="C6" s="4" t="s">
        <v>224</v>
      </c>
      <c r="D6" s="4" t="s">
        <v>225</v>
      </c>
    </row>
    <row r="7" spans="1:4" ht="15.75">
      <c r="A7" s="6" t="s">
        <v>159</v>
      </c>
      <c r="B7" s="133">
        <f>'Приложение 1'!F6</f>
        <v>147</v>
      </c>
      <c r="C7" s="134">
        <f>'Приложение 4'!U13</f>
        <v>1899</v>
      </c>
      <c r="D7" s="135">
        <f aca="true" t="shared" si="0" ref="D7:D17">C7+B7</f>
        <v>2046</v>
      </c>
    </row>
    <row r="8" spans="1:4" ht="15.75">
      <c r="A8" s="10" t="s">
        <v>160</v>
      </c>
      <c r="B8" s="133">
        <f>'Приложение 1'!F7</f>
        <v>100.9</v>
      </c>
      <c r="C8" s="134">
        <f>'Приложение 4'!U14</f>
        <v>931</v>
      </c>
      <c r="D8" s="135">
        <f t="shared" si="0"/>
        <v>1031.9</v>
      </c>
    </row>
    <row r="9" spans="1:4" ht="15.75">
      <c r="A9" s="10" t="s">
        <v>161</v>
      </c>
      <c r="B9" s="133">
        <f>'Приложение 1'!F8</f>
        <v>108.8</v>
      </c>
      <c r="C9" s="134">
        <f>'Приложение 4'!U15</f>
        <v>647</v>
      </c>
      <c r="D9" s="135">
        <f t="shared" si="0"/>
        <v>755.8</v>
      </c>
    </row>
    <row r="10" spans="1:4" ht="15.75">
      <c r="A10" s="10" t="s">
        <v>162</v>
      </c>
      <c r="B10" s="133">
        <f>'Приложение 1'!F9</f>
        <v>57.8</v>
      </c>
      <c r="C10" s="134">
        <f>'Приложение 4'!U16</f>
        <v>388</v>
      </c>
      <c r="D10" s="135">
        <f t="shared" si="0"/>
        <v>445.8</v>
      </c>
    </row>
    <row r="11" spans="1:4" ht="15.75">
      <c r="A11" s="10" t="s">
        <v>163</v>
      </c>
      <c r="B11" s="133">
        <f>'Приложение 1'!F10</f>
        <v>99.7</v>
      </c>
      <c r="C11" s="134">
        <f>'Приложение 4'!U17</f>
        <v>1351</v>
      </c>
      <c r="D11" s="135">
        <f t="shared" si="0"/>
        <v>1450.7</v>
      </c>
    </row>
    <row r="12" spans="1:4" ht="15.75">
      <c r="A12" s="10" t="s">
        <v>164</v>
      </c>
      <c r="B12" s="133">
        <f>'Приложение 1'!F11</f>
        <v>73.9</v>
      </c>
      <c r="C12" s="134">
        <f>'Приложение 4'!U18</f>
        <v>894</v>
      </c>
      <c r="D12" s="135">
        <f t="shared" si="0"/>
        <v>967.9</v>
      </c>
    </row>
    <row r="13" spans="1:4" ht="15.75">
      <c r="A13" s="10" t="s">
        <v>183</v>
      </c>
      <c r="B13" s="133">
        <f>'Приложение 1'!F12</f>
        <v>32.3</v>
      </c>
      <c r="C13" s="134">
        <f>'Приложение 4'!U19</f>
        <v>80</v>
      </c>
      <c r="D13" s="135">
        <f t="shared" si="0"/>
        <v>112.3</v>
      </c>
    </row>
    <row r="14" spans="1:4" ht="15.75">
      <c r="A14" s="10" t="s">
        <v>166</v>
      </c>
      <c r="B14" s="133">
        <f>'Приложение 1'!F13</f>
        <v>65.2</v>
      </c>
      <c r="C14" s="134">
        <f>'Приложение 4'!U20</f>
        <v>176</v>
      </c>
      <c r="D14" s="135">
        <f t="shared" si="0"/>
        <v>241.2</v>
      </c>
    </row>
    <row r="15" spans="1:4" ht="15.75">
      <c r="A15" s="10" t="s">
        <v>184</v>
      </c>
      <c r="B15" s="133">
        <f>'Приложение 1'!F14</f>
        <v>657.7</v>
      </c>
      <c r="C15" s="134">
        <f>'Приложение 4'!U21</f>
        <v>0</v>
      </c>
      <c r="D15" s="135">
        <f t="shared" si="0"/>
        <v>657.7</v>
      </c>
    </row>
    <row r="16" spans="1:4" ht="15.75">
      <c r="A16" s="10" t="s">
        <v>168</v>
      </c>
      <c r="B16" s="133">
        <f>'Приложение 1'!F15</f>
        <v>159.8</v>
      </c>
      <c r="C16" s="134">
        <f>'Приложение 4'!U22</f>
        <v>0</v>
      </c>
      <c r="D16" s="135">
        <f t="shared" si="0"/>
        <v>159.8</v>
      </c>
    </row>
    <row r="17" spans="1:4" ht="15.75">
      <c r="A17" s="10" t="s">
        <v>169</v>
      </c>
      <c r="B17" s="133">
        <f>'Приложение 1'!F16</f>
        <v>25.8</v>
      </c>
      <c r="C17" s="134">
        <f>'Приложение 4'!U23</f>
        <v>439</v>
      </c>
      <c r="D17" s="135">
        <f t="shared" si="0"/>
        <v>464.8</v>
      </c>
    </row>
    <row r="18" spans="1:4" ht="31.5">
      <c r="A18" s="14" t="s">
        <v>13</v>
      </c>
      <c r="B18" s="17">
        <f>SUM(B7:B17)</f>
        <v>1528.9</v>
      </c>
      <c r="C18" s="136">
        <f>SUM(C7:C17)</f>
        <v>6805</v>
      </c>
      <c r="D18" s="136">
        <f>SUM(D7:D17)</f>
        <v>8333.9</v>
      </c>
    </row>
  </sheetData>
  <sheetProtection selectLockedCells="1" selectUnlockedCells="1"/>
  <mergeCells count="1">
    <mergeCell ref="A3:D3"/>
  </mergeCells>
  <conditionalFormatting sqref="A7:A18">
    <cfRule type="cellIs" priority="1" dxfId="3" operator="less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Гутман Елена</cp:lastModifiedBy>
  <cp:lastPrinted>2019-11-05T07:46:11Z</cp:lastPrinted>
  <dcterms:created xsi:type="dcterms:W3CDTF">2017-10-27T07:50:19Z</dcterms:created>
  <dcterms:modified xsi:type="dcterms:W3CDTF">2019-11-07T13:57:48Z</dcterms:modified>
  <cp:category/>
  <cp:version/>
  <cp:contentType/>
  <cp:contentStatus/>
</cp:coreProperties>
</file>